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6605" windowHeight="8850" tabRatio="1000"/>
  </bookViews>
  <sheets>
    <sheet name="Variables y Resumen" sheetId="7" r:id="rId1"/>
    <sheet name="36533-00 USD" sheetId="2" r:id="rId2"/>
    <sheet name="36533-01 USD" sheetId="3" r:id="rId3"/>
    <sheet name="36533-03 USD" sheetId="4" r:id="rId4"/>
    <sheet name="36533-04 USD" sheetId="5" r:id="rId5"/>
    <sheet name="CALCULOS" sheetId="10" r:id="rId6"/>
    <sheet name="LIBOR" sheetId="9" r:id="rId7"/>
  </sheets>
  <definedNames>
    <definedName name="_xlnm._FilterDatabase" localSheetId="5" hidden="1">CALCULOS!$A$65:$D$65</definedName>
    <definedName name="_xlnm._FilterDatabase" localSheetId="6" hidden="1">LIBOR!$A$1:$I$1</definedName>
    <definedName name="_xlnm.Print_Area" localSheetId="1">'36533-00 USD'!$A$252:$H$281</definedName>
    <definedName name="_xlnm.Print_Area" localSheetId="2">'36533-01 USD'!$A$256:$H$285</definedName>
    <definedName name="_xlnm.Print_Area" localSheetId="3">'36533-03 USD'!$A$208:$H$232</definedName>
    <definedName name="_xlnm.Print_Area" localSheetId="4">'36533-04 USD'!$A$233:$H$258</definedName>
    <definedName name="_xlnm.Print_Area" localSheetId="0">'Variables y Resumen'!$A$1:$O$49</definedName>
    <definedName name="Selección_Libor">'Variables y Resumen'!$B$6</definedName>
    <definedName name="Tabla_Libor">LIBOR!$A$2:$I$1201</definedName>
  </definedNames>
  <calcPr calcId="145621"/>
  <pivotCaches>
    <pivotCache cacheId="1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3" l="1"/>
  <c r="C56" i="3"/>
  <c r="G56" i="3"/>
  <c r="G118" i="3"/>
  <c r="J186" i="5" l="1"/>
  <c r="J158" i="5"/>
  <c r="J130" i="5"/>
  <c r="J101" i="5"/>
  <c r="J74" i="5"/>
  <c r="J47" i="5"/>
  <c r="J18" i="5"/>
  <c r="I18" i="5"/>
  <c r="J167" i="4"/>
  <c r="J142" i="4"/>
  <c r="J117" i="4"/>
  <c r="J92" i="4"/>
  <c r="J67" i="4"/>
  <c r="J43" i="4"/>
  <c r="J18" i="4"/>
  <c r="I18" i="4"/>
  <c r="J203" i="3"/>
  <c r="J171" i="3"/>
  <c r="J140" i="3"/>
  <c r="J109" i="3"/>
  <c r="J78" i="3"/>
  <c r="J48" i="3"/>
  <c r="J18" i="3"/>
  <c r="I18" i="3"/>
  <c r="K18" i="4" l="1"/>
  <c r="K18" i="5"/>
  <c r="N18" i="5" s="1"/>
  <c r="K18" i="3"/>
  <c r="J198" i="2"/>
  <c r="J167" i="2"/>
  <c r="J135" i="2"/>
  <c r="J105" i="2"/>
  <c r="J75" i="2"/>
  <c r="J47" i="2"/>
  <c r="J17" i="2"/>
  <c r="I17" i="2"/>
  <c r="L5" i="7"/>
  <c r="N5" i="7"/>
  <c r="L6" i="7"/>
  <c r="N6" i="7"/>
  <c r="L7" i="7"/>
  <c r="N7" i="7"/>
  <c r="L8" i="7"/>
  <c r="N8" i="7"/>
  <c r="L9" i="7"/>
  <c r="N9" i="7"/>
  <c r="L10" i="7"/>
  <c r="N10" i="7"/>
  <c r="L11" i="7"/>
  <c r="N11" i="7"/>
  <c r="L12" i="7"/>
  <c r="N12" i="7"/>
  <c r="N4" i="7"/>
  <c r="L4" i="7"/>
  <c r="F12" i="7"/>
  <c r="H12" i="7"/>
  <c r="F5" i="7"/>
  <c r="F6" i="7"/>
  <c r="F7" i="7"/>
  <c r="F8" i="7"/>
  <c r="F9" i="7"/>
  <c r="F10" i="7"/>
  <c r="F11" i="7"/>
  <c r="F4" i="7"/>
  <c r="H5" i="7"/>
  <c r="H6" i="7"/>
  <c r="H7" i="7"/>
  <c r="H8" i="7"/>
  <c r="H9" i="7"/>
  <c r="H10" i="7"/>
  <c r="H11" i="7"/>
  <c r="H4" i="7"/>
  <c r="D10" i="7"/>
  <c r="D9" i="7"/>
  <c r="D8" i="7"/>
  <c r="D7" i="7"/>
  <c r="D6" i="7"/>
  <c r="D5" i="7"/>
  <c r="D4" i="7"/>
  <c r="C4" i="7"/>
  <c r="F48" i="10"/>
  <c r="F49" i="10"/>
  <c r="F50" i="10"/>
  <c r="F47" i="10"/>
  <c r="J65" i="10"/>
  <c r="H68" i="10"/>
  <c r="J68" i="10" s="1"/>
  <c r="I68" i="10" s="1"/>
  <c r="H69" i="10"/>
  <c r="J69" i="10" s="1"/>
  <c r="I69" i="10" s="1"/>
  <c r="H70" i="10"/>
  <c r="J70" i="10" s="1"/>
  <c r="I70" i="10" s="1"/>
  <c r="H71" i="10"/>
  <c r="J71" i="10" s="1"/>
  <c r="I71" i="10" s="1"/>
  <c r="H72" i="10"/>
  <c r="J72" i="10" s="1"/>
  <c r="I72" i="10" s="1"/>
  <c r="H73" i="10"/>
  <c r="J73" i="10" s="1"/>
  <c r="I73" i="10" s="1"/>
  <c r="H67" i="10"/>
  <c r="D74" i="10"/>
  <c r="C50" i="10"/>
  <c r="C49" i="10"/>
  <c r="C48" i="10"/>
  <c r="C47" i="10"/>
  <c r="E57" i="10"/>
  <c r="H57" i="10" s="1"/>
  <c r="E58" i="10"/>
  <c r="H58" i="10" s="1"/>
  <c r="E59" i="10"/>
  <c r="H59" i="10" s="1"/>
  <c r="E56" i="10"/>
  <c r="H56" i="10" s="1"/>
  <c r="C282" i="3"/>
  <c r="C283" i="3" s="1"/>
  <c r="C251" i="3"/>
  <c r="C252" i="3" s="1"/>
  <c r="C218" i="3"/>
  <c r="C219" i="3" s="1"/>
  <c r="C186" i="3"/>
  <c r="C155" i="3"/>
  <c r="C156" i="3" s="1"/>
  <c r="D132" i="3" s="1"/>
  <c r="C124" i="3"/>
  <c r="C93" i="3"/>
  <c r="C62" i="3"/>
  <c r="C32" i="3"/>
  <c r="D32" i="3" s="1"/>
  <c r="D33" i="3" s="1"/>
  <c r="B62" i="3" s="1"/>
  <c r="B33" i="3"/>
  <c r="D9" i="3" s="1"/>
  <c r="C150" i="2"/>
  <c r="D150" i="2" s="1"/>
  <c r="C279" i="2"/>
  <c r="C278" i="2"/>
  <c r="C247" i="2"/>
  <c r="C246" i="2"/>
  <c r="C214" i="2"/>
  <c r="C213" i="2"/>
  <c r="C183" i="2"/>
  <c r="C182" i="2"/>
  <c r="C151" i="2"/>
  <c r="C120" i="2"/>
  <c r="C90" i="2"/>
  <c r="C61" i="2"/>
  <c r="C31" i="2"/>
  <c r="D9" i="2" s="1"/>
  <c r="D8" i="2"/>
  <c r="M18" i="3" l="1"/>
  <c r="N18" i="3"/>
  <c r="D18" i="3" s="1"/>
  <c r="M18" i="4"/>
  <c r="N18" i="4"/>
  <c r="M18" i="5"/>
  <c r="K17" i="2"/>
  <c r="J67" i="10"/>
  <c r="J74" i="10" s="1"/>
  <c r="C248" i="2"/>
  <c r="D223" i="2" s="1"/>
  <c r="D62" i="3"/>
  <c r="D63" i="3" s="1"/>
  <c r="B93" i="3" s="1"/>
  <c r="B94" i="3" s="1"/>
  <c r="D69" i="3" s="1"/>
  <c r="C187" i="3"/>
  <c r="C94" i="3"/>
  <c r="D70" i="3" s="1"/>
  <c r="C33" i="3"/>
  <c r="D10" i="3" s="1"/>
  <c r="C184" i="2"/>
  <c r="D159" i="2" s="1"/>
  <c r="C215" i="2"/>
  <c r="D190" i="2" s="1"/>
  <c r="C152" i="2"/>
  <c r="D127" i="2" s="1"/>
  <c r="C280" i="2"/>
  <c r="D255" i="2" s="1"/>
  <c r="B182" i="2"/>
  <c r="D182" i="2" s="1"/>
  <c r="D97" i="2"/>
  <c r="D31" i="2"/>
  <c r="D67" i="2"/>
  <c r="C84" i="2" s="1"/>
  <c r="D39" i="2"/>
  <c r="M17" i="2" l="1"/>
  <c r="N17" i="2"/>
  <c r="E4" i="7" s="1"/>
  <c r="D25" i="3"/>
  <c r="D26" i="3"/>
  <c r="I67" i="10"/>
  <c r="I74" i="10" s="1"/>
  <c r="D93" i="3"/>
  <c r="D94" i="3" s="1"/>
  <c r="B124" i="3" s="1"/>
  <c r="D124" i="3" s="1"/>
  <c r="D125" i="3" s="1"/>
  <c r="B155" i="3" s="1"/>
  <c r="B156" i="3" s="1"/>
  <c r="B213" i="2"/>
  <c r="D213" i="2" s="1"/>
  <c r="B61" i="2"/>
  <c r="D61" i="2" s="1"/>
  <c r="D38" i="2"/>
  <c r="G4" i="7" l="1"/>
  <c r="I4" i="7" s="1"/>
  <c r="J4" i="7" s="1"/>
  <c r="K4" i="7"/>
  <c r="M4" i="7" s="1"/>
  <c r="O4" i="7" s="1"/>
  <c r="P4" i="7" s="1"/>
  <c r="D155" i="3"/>
  <c r="D156" i="3" s="1"/>
  <c r="B186" i="3" s="1"/>
  <c r="B187" i="3" s="1"/>
  <c r="D66" i="2"/>
  <c r="B90" i="2"/>
  <c r="D90" i="2" s="1"/>
  <c r="D186" i="3" l="1"/>
  <c r="D187" i="3" s="1"/>
  <c r="B218" i="3" s="1"/>
  <c r="B219" i="3" s="1"/>
  <c r="B246" i="2"/>
  <c r="D96" i="2"/>
  <c r="B120" i="2"/>
  <c r="D218" i="3" l="1"/>
  <c r="D219" i="3" s="1"/>
  <c r="B251" i="3" s="1"/>
  <c r="B252" i="3" s="1"/>
  <c r="D246" i="2"/>
  <c r="D120" i="2"/>
  <c r="D251" i="3" l="1"/>
  <c r="D252" i="3" s="1"/>
  <c r="D126" i="2"/>
  <c r="B151" i="2"/>
  <c r="B278" i="2"/>
  <c r="D278" i="2" s="1"/>
  <c r="B152" i="2" l="1"/>
  <c r="D151" i="2"/>
  <c r="B183" i="2" l="1"/>
  <c r="D152" i="2"/>
  <c r="B184" i="2" l="1"/>
  <c r="D183" i="2"/>
  <c r="B214" i="2" l="1"/>
  <c r="D184" i="2"/>
  <c r="B215" i="2" l="1"/>
  <c r="D214" i="2"/>
  <c r="B247" i="2" l="1"/>
  <c r="D215" i="2"/>
  <c r="D247" i="2" l="1"/>
  <c r="D248" i="2" s="1"/>
  <c r="D254" i="2" s="1"/>
  <c r="B248" i="2"/>
  <c r="B232" i="5" l="1"/>
  <c r="J244" i="5" s="1"/>
  <c r="B207" i="4"/>
  <c r="J219" i="4" s="1"/>
  <c r="B255" i="3"/>
  <c r="J267" i="3" s="1"/>
  <c r="B251" i="2"/>
  <c r="F25" i="7"/>
  <c r="B19" i="7"/>
  <c r="F19" i="7" s="1"/>
  <c r="F18" i="7"/>
  <c r="B60" i="10"/>
  <c r="C58" i="10"/>
  <c r="D58" i="10" s="1"/>
  <c r="J58" i="10" s="1"/>
  <c r="C57" i="10"/>
  <c r="D57" i="10" s="1"/>
  <c r="J57" i="10" s="1"/>
  <c r="J54" i="10"/>
  <c r="A53" i="10"/>
  <c r="B51" i="10"/>
  <c r="H50" i="10"/>
  <c r="D50" i="10"/>
  <c r="H49" i="10"/>
  <c r="D49" i="10"/>
  <c r="H48" i="10"/>
  <c r="D48" i="10"/>
  <c r="H47" i="10"/>
  <c r="C56" i="10"/>
  <c r="J45" i="10"/>
  <c r="A44" i="10"/>
  <c r="D42" i="10"/>
  <c r="C42" i="10"/>
  <c r="C18" i="10"/>
  <c r="C17" i="10"/>
  <c r="I7" i="10"/>
  <c r="I6" i="10"/>
  <c r="I5" i="10"/>
  <c r="I4" i="10"/>
  <c r="E69" i="10" l="1"/>
  <c r="E71" i="10"/>
  <c r="E68" i="10"/>
  <c r="E72" i="10"/>
  <c r="E73" i="10"/>
  <c r="E70" i="10"/>
  <c r="E67" i="10"/>
  <c r="C19" i="10"/>
  <c r="D12" i="7"/>
  <c r="B43" i="7" s="1"/>
  <c r="J263" i="2"/>
  <c r="J49" i="10"/>
  <c r="I49" i="10" s="1"/>
  <c r="J50" i="10"/>
  <c r="I50" i="10" s="1"/>
  <c r="J48" i="10"/>
  <c r="I48" i="10" s="1"/>
  <c r="C51" i="10"/>
  <c r="D47" i="10"/>
  <c r="D51" i="10" s="1"/>
  <c r="I57" i="10"/>
  <c r="I58" i="10"/>
  <c r="D56" i="10"/>
  <c r="J56" i="10" s="1"/>
  <c r="I56" i="10" s="1"/>
  <c r="C59" i="10"/>
  <c r="D59" i="10" s="1"/>
  <c r="J47" i="10" l="1"/>
  <c r="I47" i="10" s="1"/>
  <c r="I51" i="10" s="1"/>
  <c r="J59" i="10"/>
  <c r="I59" i="10" s="1"/>
  <c r="I60" i="10" s="1"/>
  <c r="C60" i="10"/>
  <c r="D60" i="10"/>
  <c r="A203" i="5"/>
  <c r="A173" i="5"/>
  <c r="I186" i="5" s="1"/>
  <c r="A145" i="5"/>
  <c r="I158" i="5" s="1"/>
  <c r="A117" i="5"/>
  <c r="I130" i="5" s="1"/>
  <c r="A88" i="5"/>
  <c r="I101" i="5" s="1"/>
  <c r="A61" i="5"/>
  <c r="I74" i="5" s="1"/>
  <c r="A34" i="5"/>
  <c r="I47" i="5" s="1"/>
  <c r="G139" i="5"/>
  <c r="G138" i="5"/>
  <c r="G137" i="5"/>
  <c r="G131" i="5"/>
  <c r="G130" i="5"/>
  <c r="G110" i="5"/>
  <c r="G109" i="5"/>
  <c r="G108" i="5"/>
  <c r="G102" i="5"/>
  <c r="G101" i="5"/>
  <c r="G83" i="5"/>
  <c r="G82" i="5"/>
  <c r="G81" i="5"/>
  <c r="G75" i="5"/>
  <c r="G74" i="5"/>
  <c r="G56" i="5"/>
  <c r="G55" i="5"/>
  <c r="G54" i="5"/>
  <c r="G48" i="5"/>
  <c r="G47" i="5"/>
  <c r="G30" i="5"/>
  <c r="G29" i="5"/>
  <c r="G28" i="5"/>
  <c r="G27" i="5"/>
  <c r="G19" i="5"/>
  <c r="G20" i="5"/>
  <c r="G21" i="5"/>
  <c r="G18" i="5"/>
  <c r="H16" i="5"/>
  <c r="G16" i="5"/>
  <c r="I3" i="5"/>
  <c r="D18" i="5" s="1"/>
  <c r="A183" i="4"/>
  <c r="A155" i="4"/>
  <c r="I167" i="4" s="1"/>
  <c r="A130" i="4"/>
  <c r="I142" i="4" s="1"/>
  <c r="A105" i="4"/>
  <c r="I117" i="4" s="1"/>
  <c r="A79" i="4"/>
  <c r="I92" i="4" s="1"/>
  <c r="A54" i="4"/>
  <c r="I67" i="4" s="1"/>
  <c r="A30" i="4"/>
  <c r="I43" i="4" s="1"/>
  <c r="G126" i="4"/>
  <c r="G125" i="4"/>
  <c r="G124" i="4"/>
  <c r="G118" i="4"/>
  <c r="G117" i="4"/>
  <c r="G68" i="4"/>
  <c r="G67" i="4"/>
  <c r="G101" i="4"/>
  <c r="G100" i="4"/>
  <c r="G99" i="4"/>
  <c r="G93" i="4"/>
  <c r="G92" i="4"/>
  <c r="G76" i="4"/>
  <c r="G75" i="4"/>
  <c r="G74" i="4"/>
  <c r="G51" i="4"/>
  <c r="G50" i="4"/>
  <c r="G44" i="4"/>
  <c r="G43" i="4"/>
  <c r="G27" i="4"/>
  <c r="G26" i="4"/>
  <c r="G19" i="4"/>
  <c r="G18" i="4"/>
  <c r="G203" i="3"/>
  <c r="G149" i="3"/>
  <c r="G148" i="3"/>
  <c r="G147" i="3"/>
  <c r="G146" i="3"/>
  <c r="G140" i="3"/>
  <c r="G117" i="3"/>
  <c r="G116" i="3"/>
  <c r="G115" i="3"/>
  <c r="G109" i="3"/>
  <c r="G87" i="3"/>
  <c r="G86" i="3"/>
  <c r="G85" i="3"/>
  <c r="G84" i="3"/>
  <c r="G78" i="3"/>
  <c r="G55" i="3"/>
  <c r="G54" i="3"/>
  <c r="G48" i="3"/>
  <c r="G26" i="3"/>
  <c r="G25" i="3"/>
  <c r="G18" i="3"/>
  <c r="G144" i="2"/>
  <c r="G143" i="2"/>
  <c r="G142" i="2"/>
  <c r="G141" i="2"/>
  <c r="G135" i="2"/>
  <c r="G114" i="2"/>
  <c r="G113" i="2"/>
  <c r="G112" i="2"/>
  <c r="G111" i="2"/>
  <c r="G105" i="2"/>
  <c r="G84" i="2"/>
  <c r="G83" i="2"/>
  <c r="G82" i="2"/>
  <c r="G81" i="2"/>
  <c r="G75" i="2"/>
  <c r="G55" i="2"/>
  <c r="G54" i="2"/>
  <c r="G53" i="2"/>
  <c r="G47" i="2"/>
  <c r="G25" i="2"/>
  <c r="G24" i="2"/>
  <c r="G17" i="2"/>
  <c r="H16" i="4"/>
  <c r="H23" i="4" s="1"/>
  <c r="H41" i="4" s="1"/>
  <c r="H48" i="4" s="1"/>
  <c r="H65" i="4" s="1"/>
  <c r="H72" i="4" s="1"/>
  <c r="H90" i="4" s="1"/>
  <c r="H97" i="4" s="1"/>
  <c r="H115" i="4" s="1"/>
  <c r="H122" i="4" s="1"/>
  <c r="H140" i="4" s="1"/>
  <c r="H147" i="4" s="1"/>
  <c r="H165" i="4" s="1"/>
  <c r="H172" i="4" s="1"/>
  <c r="H193" i="4" s="1"/>
  <c r="H200" i="4" s="1"/>
  <c r="H217" i="4" s="1"/>
  <c r="H224" i="4" s="1"/>
  <c r="G16" i="4"/>
  <c r="G23" i="4" s="1"/>
  <c r="G41" i="4" s="1"/>
  <c r="G48" i="4" s="1"/>
  <c r="G65" i="4" s="1"/>
  <c r="G72" i="4" s="1"/>
  <c r="G90" i="4" s="1"/>
  <c r="G97" i="4" s="1"/>
  <c r="G115" i="4" s="1"/>
  <c r="G122" i="4" s="1"/>
  <c r="G140" i="4" s="1"/>
  <c r="G147" i="4" s="1"/>
  <c r="G165" i="4" s="1"/>
  <c r="G172" i="4" s="1"/>
  <c r="G193" i="4" s="1"/>
  <c r="G200" i="4" s="1"/>
  <c r="G217" i="4" s="1"/>
  <c r="G224" i="4" s="1"/>
  <c r="I3" i="4"/>
  <c r="D18" i="4" s="1"/>
  <c r="I3" i="2"/>
  <c r="A224" i="3"/>
  <c r="A191" i="3"/>
  <c r="I203" i="3" s="1"/>
  <c r="A159" i="3"/>
  <c r="I171" i="3" s="1"/>
  <c r="A128" i="3"/>
  <c r="I140" i="3" s="1"/>
  <c r="A96" i="3"/>
  <c r="I109" i="3" s="1"/>
  <c r="A65" i="3"/>
  <c r="I78" i="3" s="1"/>
  <c r="A35" i="3"/>
  <c r="I48" i="3" s="1"/>
  <c r="G16" i="3"/>
  <c r="D25" i="4" l="1"/>
  <c r="D26" i="4"/>
  <c r="K74" i="5"/>
  <c r="N74" i="5" s="1"/>
  <c r="D74" i="5" s="1"/>
  <c r="K130" i="5"/>
  <c r="N130" i="5" s="1"/>
  <c r="D130" i="5" s="1"/>
  <c r="K186" i="5"/>
  <c r="N186" i="5" s="1"/>
  <c r="D186" i="5" s="1"/>
  <c r="J51" i="10"/>
  <c r="K47" i="5"/>
  <c r="N47" i="5" s="1"/>
  <c r="D47" i="5" s="1"/>
  <c r="M47" i="5"/>
  <c r="K101" i="5"/>
  <c r="N101" i="5" s="1"/>
  <c r="D101" i="5" s="1"/>
  <c r="M101" i="5"/>
  <c r="K158" i="5"/>
  <c r="N158" i="5" s="1"/>
  <c r="D158" i="5" s="1"/>
  <c r="M158" i="5"/>
  <c r="D17" i="2"/>
  <c r="D25" i="2" s="1"/>
  <c r="K117" i="4"/>
  <c r="N117" i="4" s="1"/>
  <c r="D117" i="4" s="1"/>
  <c r="K43" i="4"/>
  <c r="N43" i="4" s="1"/>
  <c r="D43" i="4" s="1"/>
  <c r="K167" i="4"/>
  <c r="N167" i="4" s="1"/>
  <c r="D167" i="4" s="1"/>
  <c r="K142" i="4"/>
  <c r="N142" i="4" s="1"/>
  <c r="D142" i="4" s="1"/>
  <c r="K67" i="4"/>
  <c r="N67" i="4" s="1"/>
  <c r="D67" i="4" s="1"/>
  <c r="K92" i="4"/>
  <c r="N92" i="4" s="1"/>
  <c r="D92" i="4" s="1"/>
  <c r="K203" i="3"/>
  <c r="N203" i="3" s="1"/>
  <c r="D203" i="3" s="1"/>
  <c r="K171" i="3"/>
  <c r="N171" i="3" s="1"/>
  <c r="D171" i="3" s="1"/>
  <c r="K78" i="3"/>
  <c r="N78" i="3" s="1"/>
  <c r="D78" i="3" s="1"/>
  <c r="K48" i="3"/>
  <c r="N48" i="3" s="1"/>
  <c r="D48" i="3" s="1"/>
  <c r="K109" i="3"/>
  <c r="N109" i="3" s="1"/>
  <c r="D109" i="3" s="1"/>
  <c r="K140" i="3"/>
  <c r="N140" i="3" s="1"/>
  <c r="D140" i="3" s="1"/>
  <c r="B183" i="4"/>
  <c r="I195" i="4"/>
  <c r="B224" i="3"/>
  <c r="I236" i="3"/>
  <c r="B203" i="5"/>
  <c r="I216" i="5"/>
  <c r="J60" i="10"/>
  <c r="D18" i="2" l="1"/>
  <c r="D24" i="2" s="1"/>
  <c r="D146" i="3"/>
  <c r="D147" i="3"/>
  <c r="D116" i="3"/>
  <c r="D115" i="3"/>
  <c r="D55" i="3"/>
  <c r="D54" i="3"/>
  <c r="D84" i="3"/>
  <c r="D85" i="3"/>
  <c r="D177" i="3"/>
  <c r="D178" i="3"/>
  <c r="D210" i="3"/>
  <c r="D209" i="3"/>
  <c r="D93" i="4"/>
  <c r="D99" i="4"/>
  <c r="D100" i="4"/>
  <c r="D101" i="4" s="1"/>
  <c r="D68" i="4"/>
  <c r="D74" i="4"/>
  <c r="D75" i="4"/>
  <c r="D150" i="4"/>
  <c r="D151" i="4" s="1"/>
  <c r="D143" i="4"/>
  <c r="D149" i="4"/>
  <c r="D175" i="4"/>
  <c r="D176" i="4" s="1"/>
  <c r="D174" i="4"/>
  <c r="D168" i="4"/>
  <c r="D51" i="4"/>
  <c r="D50" i="4"/>
  <c r="D125" i="4"/>
  <c r="D126" i="4" s="1"/>
  <c r="D118" i="4"/>
  <c r="D124" i="4"/>
  <c r="D194" i="5"/>
  <c r="D195" i="5" s="1"/>
  <c r="D193" i="5"/>
  <c r="D187" i="5"/>
  <c r="D138" i="5"/>
  <c r="D139" i="5" s="1"/>
  <c r="D131" i="5"/>
  <c r="D137" i="5"/>
  <c r="D82" i="5"/>
  <c r="D83" i="5" s="1"/>
  <c r="D81" i="5"/>
  <c r="D75" i="5"/>
  <c r="M140" i="3"/>
  <c r="M109" i="3"/>
  <c r="M48" i="3"/>
  <c r="M78" i="3"/>
  <c r="M171" i="3"/>
  <c r="M203" i="3"/>
  <c r="M92" i="4"/>
  <c r="M67" i="4"/>
  <c r="M142" i="4"/>
  <c r="M167" i="4"/>
  <c r="M43" i="4"/>
  <c r="M117" i="4"/>
  <c r="D165" i="5"/>
  <c r="D159" i="5"/>
  <c r="D166" i="5"/>
  <c r="D167" i="5" s="1"/>
  <c r="D109" i="5"/>
  <c r="D110" i="5" s="1"/>
  <c r="D102" i="5"/>
  <c r="D108" i="5"/>
  <c r="D55" i="5"/>
  <c r="D54" i="5"/>
  <c r="M186" i="5"/>
  <c r="M130" i="5"/>
  <c r="M74" i="5"/>
  <c r="A207" i="4"/>
  <c r="I219" i="4" s="1"/>
  <c r="J195" i="4"/>
  <c r="K195" i="4" s="1"/>
  <c r="N195" i="4" s="1"/>
  <c r="D195" i="4" s="1"/>
  <c r="A255" i="3"/>
  <c r="I267" i="3" s="1"/>
  <c r="J236" i="3"/>
  <c r="A232" i="5"/>
  <c r="I244" i="5" s="1"/>
  <c r="J216" i="5"/>
  <c r="G23" i="3"/>
  <c r="G46" i="3" s="1"/>
  <c r="G52" i="3" s="1"/>
  <c r="G76" i="3" s="1"/>
  <c r="G82" i="3" s="1"/>
  <c r="G107" i="3" s="1"/>
  <c r="G113" i="3" s="1"/>
  <c r="G138" i="3" s="1"/>
  <c r="G144" i="3" s="1"/>
  <c r="G169" i="3" s="1"/>
  <c r="G175" i="3" s="1"/>
  <c r="G201" i="3" s="1"/>
  <c r="G207" i="3" s="1"/>
  <c r="G234" i="3" s="1"/>
  <c r="G240" i="3" s="1"/>
  <c r="G265" i="3" s="1"/>
  <c r="H16" i="3"/>
  <c r="H18" i="3" s="1"/>
  <c r="H15" i="2"/>
  <c r="G15" i="2"/>
  <c r="G22" i="2" s="1"/>
  <c r="A219" i="2"/>
  <c r="A186" i="2"/>
  <c r="A155" i="2"/>
  <c r="A123" i="2"/>
  <c r="A93" i="2"/>
  <c r="A63" i="2"/>
  <c r="A35" i="2"/>
  <c r="H130" i="5"/>
  <c r="H101" i="5"/>
  <c r="H74" i="5"/>
  <c r="H47" i="5"/>
  <c r="H117" i="4"/>
  <c r="H92" i="4"/>
  <c r="H67" i="4"/>
  <c r="D203" i="4" l="1"/>
  <c r="D204" i="4" s="1"/>
  <c r="D202" i="4"/>
  <c r="D196" i="4"/>
  <c r="D56" i="3"/>
  <c r="H56" i="3" s="1"/>
  <c r="H55" i="3"/>
  <c r="H24" i="2"/>
  <c r="K267" i="3"/>
  <c r="N267" i="3" s="1"/>
  <c r="D267" i="3" s="1"/>
  <c r="K216" i="5"/>
  <c r="K244" i="5"/>
  <c r="N244" i="5" s="1"/>
  <c r="D244" i="5" s="1"/>
  <c r="M195" i="4"/>
  <c r="K236" i="3"/>
  <c r="K219" i="4"/>
  <c r="C9" i="7"/>
  <c r="I167" i="2"/>
  <c r="C10" i="7"/>
  <c r="I198" i="2"/>
  <c r="C11" i="7"/>
  <c r="I231" i="2"/>
  <c r="D19" i="5"/>
  <c r="H19" i="5" s="1"/>
  <c r="D21" i="5"/>
  <c r="D29" i="5" s="1"/>
  <c r="D20" i="5"/>
  <c r="H18" i="5"/>
  <c r="D44" i="4"/>
  <c r="H43" i="4"/>
  <c r="H18" i="4"/>
  <c r="D19" i="4"/>
  <c r="C8" i="7"/>
  <c r="I135" i="2"/>
  <c r="C6" i="7"/>
  <c r="I75" i="2"/>
  <c r="C5" i="7"/>
  <c r="I47" i="2"/>
  <c r="C7" i="7"/>
  <c r="I105" i="2"/>
  <c r="H22" i="2"/>
  <c r="H45" i="2"/>
  <c r="H51" i="2" s="1"/>
  <c r="H73" i="2" s="1"/>
  <c r="H79" i="2" s="1"/>
  <c r="H103" i="2" s="1"/>
  <c r="H109" i="2" s="1"/>
  <c r="H133" i="2" s="1"/>
  <c r="H139" i="2" s="1"/>
  <c r="H165" i="2" s="1"/>
  <c r="H171" i="2" s="1"/>
  <c r="H196" i="2" s="1"/>
  <c r="H202" i="2" s="1"/>
  <c r="H229" i="2" s="1"/>
  <c r="H235" i="2" s="1"/>
  <c r="H261" i="2" s="1"/>
  <c r="H267" i="2" s="1"/>
  <c r="H25" i="2"/>
  <c r="H109" i="3"/>
  <c r="H78" i="3"/>
  <c r="H203" i="3"/>
  <c r="H140" i="3"/>
  <c r="H48" i="3"/>
  <c r="G45" i="2"/>
  <c r="G51" i="2" s="1"/>
  <c r="G73" i="2" s="1"/>
  <c r="G79" i="2" s="1"/>
  <c r="G103" i="2" s="1"/>
  <c r="G109" i="2" s="1"/>
  <c r="G133" i="2" s="1"/>
  <c r="G139" i="2" s="1"/>
  <c r="G165" i="2" s="1"/>
  <c r="G171" i="2" s="1"/>
  <c r="G196" i="2" s="1"/>
  <c r="G202" i="2" s="1"/>
  <c r="G229" i="2" s="1"/>
  <c r="G235" i="2" s="1"/>
  <c r="G261" i="2" s="1"/>
  <c r="G267" i="2" s="1"/>
  <c r="H23" i="3"/>
  <c r="H46" i="3" s="1"/>
  <c r="H52" i="3" s="1"/>
  <c r="H76" i="3" s="1"/>
  <c r="H82" i="3" s="1"/>
  <c r="H107" i="3" s="1"/>
  <c r="H113" i="3" s="1"/>
  <c r="H138" i="3" s="1"/>
  <c r="H144" i="3" s="1"/>
  <c r="H169" i="3" s="1"/>
  <c r="H175" i="3" s="1"/>
  <c r="H201" i="3" s="1"/>
  <c r="H207" i="3" s="1"/>
  <c r="H234" i="3" s="1"/>
  <c r="H240" i="3" s="1"/>
  <c r="H265" i="3" s="1"/>
  <c r="H25" i="3"/>
  <c r="H17" i="2"/>
  <c r="B219" i="2"/>
  <c r="J231" i="2" s="1"/>
  <c r="B279" i="2"/>
  <c r="F244" i="5"/>
  <c r="E244" i="5"/>
  <c r="E245" i="5" s="1"/>
  <c r="F216" i="5"/>
  <c r="E216" i="5"/>
  <c r="E217" i="5" s="1"/>
  <c r="F186" i="5"/>
  <c r="E186" i="5"/>
  <c r="F158" i="5"/>
  <c r="G158" i="5" s="1"/>
  <c r="H158" i="5" s="1"/>
  <c r="F219" i="4"/>
  <c r="E219" i="4"/>
  <c r="F195" i="4"/>
  <c r="F202" i="4" s="1"/>
  <c r="E195" i="4"/>
  <c r="F167" i="4"/>
  <c r="E167" i="4"/>
  <c r="F143" i="4"/>
  <c r="G143" i="4" s="1"/>
  <c r="H143" i="4" s="1"/>
  <c r="F142" i="4"/>
  <c r="G142" i="4" s="1"/>
  <c r="H142" i="4" s="1"/>
  <c r="F267" i="3"/>
  <c r="E267" i="3"/>
  <c r="F236" i="3"/>
  <c r="E236" i="3"/>
  <c r="F171" i="3"/>
  <c r="F263" i="2"/>
  <c r="E231" i="2"/>
  <c r="E237" i="2" s="1"/>
  <c r="F198" i="2"/>
  <c r="E198" i="2"/>
  <c r="F167" i="2"/>
  <c r="M244" i="5" l="1"/>
  <c r="D252" i="5"/>
  <c r="D253" i="5" s="1"/>
  <c r="D251" i="5"/>
  <c r="D245" i="5"/>
  <c r="D273" i="3"/>
  <c r="D274" i="3"/>
  <c r="D275" i="3" s="1"/>
  <c r="D276" i="3" s="1"/>
  <c r="H20" i="5"/>
  <c r="D27" i="5"/>
  <c r="M219" i="4"/>
  <c r="N219" i="4"/>
  <c r="D219" i="4" s="1"/>
  <c r="M236" i="3"/>
  <c r="N236" i="3"/>
  <c r="D236" i="3" s="1"/>
  <c r="M216" i="5"/>
  <c r="N216" i="5"/>
  <c r="D216" i="5" s="1"/>
  <c r="M267" i="3"/>
  <c r="K135" i="2"/>
  <c r="N135" i="2" s="1"/>
  <c r="M135" i="2"/>
  <c r="K75" i="2"/>
  <c r="N75" i="2" s="1"/>
  <c r="M75" i="2"/>
  <c r="K47" i="2"/>
  <c r="N47" i="2" s="1"/>
  <c r="M47" i="2"/>
  <c r="K167" i="2"/>
  <c r="N167" i="2" s="1"/>
  <c r="M167" i="2"/>
  <c r="K105" i="2"/>
  <c r="N105" i="2" s="1"/>
  <c r="M105" i="2"/>
  <c r="K198" i="2"/>
  <c r="N198" i="2" s="1"/>
  <c r="M198" i="2"/>
  <c r="K231" i="2"/>
  <c r="H29" i="5"/>
  <c r="H21" i="5"/>
  <c r="H44" i="4"/>
  <c r="A251" i="2"/>
  <c r="I263" i="2" s="1"/>
  <c r="D11" i="7"/>
  <c r="D279" i="2"/>
  <c r="D280" i="2" s="1"/>
  <c r="B280" i="2"/>
  <c r="G186" i="5"/>
  <c r="H186" i="5" s="1"/>
  <c r="G236" i="3"/>
  <c r="G244" i="5"/>
  <c r="H244" i="5" s="1"/>
  <c r="G171" i="3"/>
  <c r="H171" i="3" s="1"/>
  <c r="G167" i="2"/>
  <c r="G198" i="2"/>
  <c r="G219" i="4"/>
  <c r="G267" i="3"/>
  <c r="H267" i="3" s="1"/>
  <c r="H268" i="3" s="1"/>
  <c r="C259" i="3" s="1"/>
  <c r="G195" i="4"/>
  <c r="G167" i="4"/>
  <c r="E203" i="4"/>
  <c r="E228" i="4"/>
  <c r="E276" i="3"/>
  <c r="F276" i="3"/>
  <c r="E273" i="3"/>
  <c r="F245" i="3"/>
  <c r="F244" i="3"/>
  <c r="F242" i="3"/>
  <c r="E275" i="3"/>
  <c r="E243" i="3"/>
  <c r="F243" i="3"/>
  <c r="E274" i="3"/>
  <c r="F271" i="2"/>
  <c r="F231" i="2"/>
  <c r="G231" i="2" s="1"/>
  <c r="E239" i="2"/>
  <c r="E238" i="2"/>
  <c r="F273" i="3"/>
  <c r="F275" i="3"/>
  <c r="F274" i="3"/>
  <c r="G216" i="5"/>
  <c r="F245" i="5"/>
  <c r="F252" i="5" s="1"/>
  <c r="E251" i="5"/>
  <c r="E252" i="5"/>
  <c r="E253" i="5"/>
  <c r="E223" i="5"/>
  <c r="E224" i="5"/>
  <c r="E225" i="5"/>
  <c r="F217" i="5"/>
  <c r="E227" i="4"/>
  <c r="E226" i="4"/>
  <c r="F226" i="4"/>
  <c r="E220" i="4"/>
  <c r="F220" i="4"/>
  <c r="E202" i="4"/>
  <c r="G202" i="4" s="1"/>
  <c r="E204" i="4"/>
  <c r="E196" i="4"/>
  <c r="F196" i="4"/>
  <c r="E244" i="3"/>
  <c r="E245" i="3"/>
  <c r="E242" i="3"/>
  <c r="F270" i="2"/>
  <c r="F269" i="2"/>
  <c r="F272" i="2"/>
  <c r="E240" i="2"/>
  <c r="F187" i="5"/>
  <c r="E187" i="5"/>
  <c r="E194" i="5" s="1"/>
  <c r="E176" i="4"/>
  <c r="E175" i="4"/>
  <c r="F174" i="4"/>
  <c r="E174" i="4"/>
  <c r="F168" i="4"/>
  <c r="F175" i="4" s="1"/>
  <c r="E168" i="4"/>
  <c r="D195" i="3"/>
  <c r="F212" i="3"/>
  <c r="E212" i="3"/>
  <c r="F211" i="3"/>
  <c r="E211" i="3"/>
  <c r="F210" i="3"/>
  <c r="E210" i="3"/>
  <c r="D211" i="3"/>
  <c r="D212" i="3" s="1"/>
  <c r="F209" i="3"/>
  <c r="E209" i="3"/>
  <c r="H204" i="3"/>
  <c r="C195" i="3" s="1"/>
  <c r="F207" i="2"/>
  <c r="E207" i="2"/>
  <c r="F206" i="2"/>
  <c r="E206" i="2"/>
  <c r="F205" i="2"/>
  <c r="E205" i="2"/>
  <c r="F204" i="2"/>
  <c r="E204" i="2"/>
  <c r="E10" i="7" l="1"/>
  <c r="K10" i="7" s="1"/>
  <c r="M10" i="7" s="1"/>
  <c r="O10" i="7" s="1"/>
  <c r="P10" i="7" s="1"/>
  <c r="D198" i="2"/>
  <c r="H198" i="2" s="1"/>
  <c r="H199" i="2" s="1"/>
  <c r="C190" i="2" s="1"/>
  <c r="E7" i="7"/>
  <c r="D105" i="2"/>
  <c r="E9" i="7"/>
  <c r="D167" i="2"/>
  <c r="D47" i="2"/>
  <c r="E5" i="7"/>
  <c r="E6" i="7"/>
  <c r="D75" i="2"/>
  <c r="E8" i="7"/>
  <c r="D135" i="2"/>
  <c r="D224" i="5"/>
  <c r="D225" i="5" s="1"/>
  <c r="D223" i="5"/>
  <c r="D217" i="5"/>
  <c r="D227" i="4"/>
  <c r="D228" i="4" s="1"/>
  <c r="D226" i="4"/>
  <c r="D220" i="4"/>
  <c r="D242" i="3"/>
  <c r="D243" i="3"/>
  <c r="D244" i="3" s="1"/>
  <c r="D245" i="3" s="1"/>
  <c r="D28" i="5"/>
  <c r="H28" i="5" s="1"/>
  <c r="H27" i="5"/>
  <c r="H216" i="5"/>
  <c r="M231" i="2"/>
  <c r="N231" i="2"/>
  <c r="K263" i="2"/>
  <c r="N263" i="2" s="1"/>
  <c r="D30" i="5"/>
  <c r="H30" i="5" s="1"/>
  <c r="H195" i="4"/>
  <c r="H167" i="4"/>
  <c r="G209" i="3"/>
  <c r="H236" i="3"/>
  <c r="H237" i="3" s="1"/>
  <c r="C228" i="3" s="1"/>
  <c r="G274" i="3"/>
  <c r="E263" i="2"/>
  <c r="G263" i="2" s="1"/>
  <c r="C12" i="7"/>
  <c r="G210" i="3"/>
  <c r="G212" i="3"/>
  <c r="G211" i="3"/>
  <c r="G204" i="2"/>
  <c r="G206" i="2"/>
  <c r="G174" i="4"/>
  <c r="G243" i="3"/>
  <c r="G242" i="3"/>
  <c r="H219" i="4"/>
  <c r="G275" i="3"/>
  <c r="F194" i="5"/>
  <c r="G194" i="5" s="1"/>
  <c r="G187" i="5"/>
  <c r="H187" i="5" s="1"/>
  <c r="H188" i="5" s="1"/>
  <c r="C178" i="5" s="1"/>
  <c r="G244" i="3"/>
  <c r="G205" i="2"/>
  <c r="G207" i="2"/>
  <c r="G245" i="3"/>
  <c r="G276" i="3"/>
  <c r="G273" i="3"/>
  <c r="G196" i="4"/>
  <c r="H196" i="4" s="1"/>
  <c r="G220" i="4"/>
  <c r="G226" i="4"/>
  <c r="G168" i="4"/>
  <c r="H168" i="4" s="1"/>
  <c r="G175" i="4"/>
  <c r="B282" i="3"/>
  <c r="F239" i="2"/>
  <c r="F237" i="2"/>
  <c r="G237" i="2" s="1"/>
  <c r="F240" i="2"/>
  <c r="F238" i="2"/>
  <c r="G238" i="2" s="1"/>
  <c r="F253" i="5"/>
  <c r="G253" i="5" s="1"/>
  <c r="G245" i="5"/>
  <c r="H245" i="5" s="1"/>
  <c r="H246" i="5" s="1"/>
  <c r="C236" i="5" s="1"/>
  <c r="F251" i="5"/>
  <c r="G251" i="5" s="1"/>
  <c r="G252" i="5"/>
  <c r="F224" i="5"/>
  <c r="G224" i="5" s="1"/>
  <c r="F225" i="5"/>
  <c r="G225" i="5" s="1"/>
  <c r="G217" i="5"/>
  <c r="H217" i="5" s="1"/>
  <c r="F223" i="5"/>
  <c r="G223" i="5" s="1"/>
  <c r="F227" i="4"/>
  <c r="G227" i="4" s="1"/>
  <c r="F228" i="4"/>
  <c r="G228" i="4" s="1"/>
  <c r="F203" i="4"/>
  <c r="G203" i="4" s="1"/>
  <c r="F204" i="4"/>
  <c r="G204" i="4" s="1"/>
  <c r="E193" i="5"/>
  <c r="F176" i="4"/>
  <c r="G176" i="4" s="1"/>
  <c r="F193" i="5"/>
  <c r="E195" i="5"/>
  <c r="F195" i="5"/>
  <c r="G10" i="7" l="1"/>
  <c r="I10" i="7" s="1"/>
  <c r="J10" i="7" s="1"/>
  <c r="H218" i="5"/>
  <c r="C208" i="5" s="1"/>
  <c r="D143" i="2"/>
  <c r="D141" i="2"/>
  <c r="D142" i="2" s="1"/>
  <c r="D144" i="2" s="1"/>
  <c r="H144" i="2" s="1"/>
  <c r="H135" i="2"/>
  <c r="D83" i="2"/>
  <c r="D81" i="2"/>
  <c r="H75" i="2"/>
  <c r="G5" i="7"/>
  <c r="I5" i="7" s="1"/>
  <c r="J5" i="7" s="1"/>
  <c r="K5" i="7"/>
  <c r="M5" i="7" s="1"/>
  <c r="O5" i="7" s="1"/>
  <c r="P5" i="7" s="1"/>
  <c r="D175" i="2"/>
  <c r="D173" i="2"/>
  <c r="D113" i="2"/>
  <c r="D111" i="2"/>
  <c r="H105" i="2"/>
  <c r="D206" i="2"/>
  <c r="D204" i="2"/>
  <c r="D205" i="2" s="1"/>
  <c r="D207" i="2" s="1"/>
  <c r="H167" i="2"/>
  <c r="K8" i="7"/>
  <c r="M8" i="7" s="1"/>
  <c r="O8" i="7" s="1"/>
  <c r="P8" i="7" s="1"/>
  <c r="G8" i="7"/>
  <c r="I8" i="7" s="1"/>
  <c r="J8" i="7" s="1"/>
  <c r="G6" i="7"/>
  <c r="I6" i="7" s="1"/>
  <c r="J6" i="7" s="1"/>
  <c r="K6" i="7"/>
  <c r="M6" i="7" s="1"/>
  <c r="O6" i="7" s="1"/>
  <c r="P6" i="7" s="1"/>
  <c r="D55" i="2"/>
  <c r="D53" i="2"/>
  <c r="H47" i="2"/>
  <c r="G9" i="7"/>
  <c r="I9" i="7" s="1"/>
  <c r="J9" i="7" s="1"/>
  <c r="K9" i="7"/>
  <c r="M9" i="7" s="1"/>
  <c r="O9" i="7" s="1"/>
  <c r="P9" i="7" s="1"/>
  <c r="K7" i="7"/>
  <c r="M7" i="7" s="1"/>
  <c r="O7" i="7" s="1"/>
  <c r="P7" i="7" s="1"/>
  <c r="G7" i="7"/>
  <c r="I7" i="7" s="1"/>
  <c r="J7" i="7" s="1"/>
  <c r="H220" i="4"/>
  <c r="H221" i="4" s="1"/>
  <c r="C211" i="4" s="1"/>
  <c r="E12" i="7"/>
  <c r="D263" i="2"/>
  <c r="E11" i="7"/>
  <c r="G11" i="7" s="1"/>
  <c r="I11" i="7" s="1"/>
  <c r="J11" i="7" s="1"/>
  <c r="D231" i="2"/>
  <c r="M263" i="2"/>
  <c r="H197" i="4"/>
  <c r="C187" i="4" s="1"/>
  <c r="H169" i="4"/>
  <c r="C159" i="4" s="1"/>
  <c r="E270" i="2"/>
  <c r="G270" i="2" s="1"/>
  <c r="E269" i="2"/>
  <c r="G269" i="2" s="1"/>
  <c r="E272" i="2"/>
  <c r="G272" i="2" s="1"/>
  <c r="E271" i="2"/>
  <c r="G271" i="2" s="1"/>
  <c r="D282" i="3"/>
  <c r="D283" i="3" s="1"/>
  <c r="B283" i="3"/>
  <c r="G195" i="5"/>
  <c r="G193" i="5"/>
  <c r="G239" i="2"/>
  <c r="G240" i="2"/>
  <c r="F39" i="3"/>
  <c r="K11" i="7" l="1"/>
  <c r="M11" i="7" s="1"/>
  <c r="O11" i="7" s="1"/>
  <c r="P11" i="7" s="1"/>
  <c r="D237" i="2"/>
  <c r="D238" i="2" s="1"/>
  <c r="D240" i="2" s="1"/>
  <c r="D239" i="2"/>
  <c r="D269" i="2"/>
  <c r="D270" i="2" s="1"/>
  <c r="D272" i="2" s="1"/>
  <c r="D271" i="2"/>
  <c r="H231" i="2"/>
  <c r="H232" i="2" s="1"/>
  <c r="C223" i="2" s="1"/>
  <c r="H263" i="2"/>
  <c r="H264" i="2" s="1"/>
  <c r="C255" i="2" s="1"/>
  <c r="F159" i="5"/>
  <c r="E159" i="5"/>
  <c r="K12" i="7" l="1"/>
  <c r="M12" i="7" s="1"/>
  <c r="O12" i="7" s="1"/>
  <c r="P12" i="7" s="1"/>
  <c r="G12" i="7"/>
  <c r="I12" i="7" s="1"/>
  <c r="J12" i="7" s="1"/>
  <c r="F167" i="5"/>
  <c r="G159" i="5"/>
  <c r="H159" i="5" s="1"/>
  <c r="H160" i="5" s="1"/>
  <c r="C150" i="5" s="1"/>
  <c r="F165" i="5"/>
  <c r="F166" i="5"/>
  <c r="E165" i="5"/>
  <c r="E166" i="5"/>
  <c r="E167" i="5"/>
  <c r="D128" i="2"/>
  <c r="D158" i="2" s="1"/>
  <c r="C176" i="2" s="1"/>
  <c r="F151" i="4"/>
  <c r="F150" i="4"/>
  <c r="F149" i="4"/>
  <c r="E151" i="4"/>
  <c r="E150" i="4"/>
  <c r="E149" i="4"/>
  <c r="F176" i="2"/>
  <c r="F175" i="2"/>
  <c r="F174" i="2"/>
  <c r="F173" i="2"/>
  <c r="E176" i="2"/>
  <c r="E175" i="2"/>
  <c r="E174" i="2"/>
  <c r="E173" i="2"/>
  <c r="D174" i="2"/>
  <c r="D176" i="2" s="1"/>
  <c r="H168" i="2"/>
  <c r="C159" i="2" s="1"/>
  <c r="E180" i="3"/>
  <c r="E179" i="3"/>
  <c r="E178" i="3"/>
  <c r="F180" i="3"/>
  <c r="F179" i="3"/>
  <c r="F178" i="3"/>
  <c r="F177" i="3"/>
  <c r="E177" i="3"/>
  <c r="D179" i="3"/>
  <c r="D180" i="3" s="1"/>
  <c r="H172" i="3"/>
  <c r="C163" i="3" s="1"/>
  <c r="D48" i="5"/>
  <c r="B11" i="5"/>
  <c r="B38" i="5" s="1"/>
  <c r="E9" i="5"/>
  <c r="H68" i="4"/>
  <c r="B11" i="4"/>
  <c r="B34" i="4" s="1"/>
  <c r="E9" i="4"/>
  <c r="D131" i="3"/>
  <c r="C149" i="3" s="1"/>
  <c r="D148" i="3"/>
  <c r="D149" i="3" s="1"/>
  <c r="H141" i="3"/>
  <c r="C132" i="3" s="1"/>
  <c r="C125" i="3"/>
  <c r="D101" i="3" s="1"/>
  <c r="B125" i="3"/>
  <c r="D100" i="3" s="1"/>
  <c r="C118" i="3" s="1"/>
  <c r="D117" i="3"/>
  <c r="D118" i="3" s="1"/>
  <c r="H110" i="3"/>
  <c r="C101" i="3" s="1"/>
  <c r="D86" i="3"/>
  <c r="D87" i="3" s="1"/>
  <c r="H79" i="3"/>
  <c r="C70" i="3" s="1"/>
  <c r="C63" i="3"/>
  <c r="D40" i="3" s="1"/>
  <c r="D41" i="3" s="1"/>
  <c r="B63" i="3"/>
  <c r="C55" i="3"/>
  <c r="C54" i="3"/>
  <c r="H54" i="3" s="1"/>
  <c r="H49" i="3"/>
  <c r="C40" i="3" s="1"/>
  <c r="B41" i="3"/>
  <c r="B69" i="3" s="1"/>
  <c r="E19" i="3"/>
  <c r="G19" i="3" s="1"/>
  <c r="D19" i="3"/>
  <c r="D11" i="3"/>
  <c r="B11" i="3"/>
  <c r="F9" i="3"/>
  <c r="H136" i="2"/>
  <c r="C127" i="2" s="1"/>
  <c r="D112" i="2"/>
  <c r="D114" i="2" s="1"/>
  <c r="H114" i="2" s="1"/>
  <c r="H106" i="2"/>
  <c r="C97" i="2" s="1"/>
  <c r="D98" i="2"/>
  <c r="D82" i="2"/>
  <c r="D84" i="2" s="1"/>
  <c r="H84" i="2" s="1"/>
  <c r="H76" i="2"/>
  <c r="C67" i="2" s="1"/>
  <c r="D68" i="2"/>
  <c r="D54" i="2"/>
  <c r="H48" i="2"/>
  <c r="C39" i="2" s="1"/>
  <c r="E18" i="2"/>
  <c r="G18" i="2" s="1"/>
  <c r="H18" i="2" s="1"/>
  <c r="D10" i="2"/>
  <c r="D40" i="2" s="1"/>
  <c r="B10" i="2"/>
  <c r="B38" i="2" s="1"/>
  <c r="F8" i="2"/>
  <c r="G149" i="4" l="1"/>
  <c r="G150" i="4"/>
  <c r="H118" i="3"/>
  <c r="H149" i="3"/>
  <c r="H57" i="3"/>
  <c r="G178" i="3"/>
  <c r="G179" i="3"/>
  <c r="G180" i="3"/>
  <c r="G167" i="5"/>
  <c r="G151" i="4"/>
  <c r="G166" i="5"/>
  <c r="H75" i="5"/>
  <c r="H76" i="5" s="1"/>
  <c r="C66" i="5" s="1"/>
  <c r="H102" i="5"/>
  <c r="H103" i="5" s="1"/>
  <c r="C93" i="5" s="1"/>
  <c r="H131" i="5"/>
  <c r="H132" i="5" s="1"/>
  <c r="C122" i="5" s="1"/>
  <c r="D56" i="5"/>
  <c r="H48" i="5"/>
  <c r="H49" i="5" s="1"/>
  <c r="C39" i="5" s="1"/>
  <c r="G165" i="5"/>
  <c r="G177" i="3"/>
  <c r="G174" i="2"/>
  <c r="H93" i="4"/>
  <c r="H94" i="4" s="1"/>
  <c r="C84" i="4" s="1"/>
  <c r="G175" i="2"/>
  <c r="H118" i="4"/>
  <c r="H119" i="4" s="1"/>
  <c r="C109" i="4" s="1"/>
  <c r="G176" i="2"/>
  <c r="H176" i="2" s="1"/>
  <c r="G173" i="2"/>
  <c r="H69" i="4"/>
  <c r="C59" i="4" s="1"/>
  <c r="H26" i="4"/>
  <c r="H19" i="4"/>
  <c r="H20" i="4" s="1"/>
  <c r="H19" i="3"/>
  <c r="H20" i="3" s="1"/>
  <c r="H31" i="5"/>
  <c r="D10" i="5" s="1"/>
  <c r="D11" i="5" s="1"/>
  <c r="D38" i="5" s="1"/>
  <c r="C56" i="5" s="1"/>
  <c r="H45" i="4"/>
  <c r="C35" i="4" s="1"/>
  <c r="D160" i="2"/>
  <c r="D189" i="2" s="1"/>
  <c r="H144" i="4"/>
  <c r="C134" i="4" s="1"/>
  <c r="C50" i="4"/>
  <c r="H50" i="4" s="1"/>
  <c r="B36" i="4"/>
  <c r="B58" i="4" s="1"/>
  <c r="C84" i="3"/>
  <c r="H84" i="3" s="1"/>
  <c r="B71" i="3"/>
  <c r="B100" i="3" s="1"/>
  <c r="D71" i="3"/>
  <c r="C87" i="3"/>
  <c r="H87" i="3" s="1"/>
  <c r="C54" i="5"/>
  <c r="H54" i="5" s="1"/>
  <c r="B40" i="5"/>
  <c r="B65" i="5" s="1"/>
  <c r="H19" i="2"/>
  <c r="C41" i="3"/>
  <c r="C69" i="3" s="1"/>
  <c r="H22" i="5"/>
  <c r="C55" i="2"/>
  <c r="H55" i="2" s="1"/>
  <c r="B40" i="2"/>
  <c r="B66" i="2" s="1"/>
  <c r="H56" i="5" l="1"/>
  <c r="H26" i="3"/>
  <c r="H27" i="3" s="1"/>
  <c r="C10" i="5"/>
  <c r="C11" i="5" s="1"/>
  <c r="C38" i="5" s="1"/>
  <c r="E31" i="7"/>
  <c r="C10" i="3"/>
  <c r="C11" i="3" s="1"/>
  <c r="C31" i="7"/>
  <c r="C10" i="4"/>
  <c r="C11" i="4" s="1"/>
  <c r="C34" i="4" s="1"/>
  <c r="D31" i="7"/>
  <c r="C9" i="2"/>
  <c r="C10" i="2" s="1"/>
  <c r="C38" i="2" s="1"/>
  <c r="B31" i="7"/>
  <c r="D27" i="4"/>
  <c r="H27" i="4" s="1"/>
  <c r="D76" i="4"/>
  <c r="D191" i="2"/>
  <c r="D222" i="2" s="1"/>
  <c r="C207" i="2"/>
  <c r="H207" i="2" s="1"/>
  <c r="H26" i="2"/>
  <c r="E40" i="3"/>
  <c r="C115" i="3"/>
  <c r="H115" i="3" s="1"/>
  <c r="B102" i="3"/>
  <c r="B131" i="3" s="1"/>
  <c r="D102" i="3"/>
  <c r="B67" i="5"/>
  <c r="B92" i="5" s="1"/>
  <c r="C81" i="5"/>
  <c r="H81" i="5" s="1"/>
  <c r="C71" i="3"/>
  <c r="C100" i="3" s="1"/>
  <c r="C85" i="3"/>
  <c r="H85" i="3" s="1"/>
  <c r="C83" i="2"/>
  <c r="H83" i="2" s="1"/>
  <c r="B68" i="2"/>
  <c r="B96" i="2" s="1"/>
  <c r="B60" i="4"/>
  <c r="B83" i="4" s="1"/>
  <c r="C74" i="4"/>
  <c r="H74" i="4" s="1"/>
  <c r="E10" i="5" l="1"/>
  <c r="E11" i="5" s="1"/>
  <c r="E9" i="2"/>
  <c r="E10" i="2" s="1"/>
  <c r="E38" i="2" s="1"/>
  <c r="C54" i="2" s="1"/>
  <c r="H54" i="2" s="1"/>
  <c r="H28" i="4"/>
  <c r="D10" i="4" s="1"/>
  <c r="D11" i="4" s="1"/>
  <c r="D34" i="4" s="1"/>
  <c r="D224" i="2"/>
  <c r="C240" i="2"/>
  <c r="H240" i="2" s="1"/>
  <c r="E41" i="3"/>
  <c r="E69" i="3" s="1"/>
  <c r="F40" i="3"/>
  <c r="C99" i="4"/>
  <c r="H99" i="4" s="1"/>
  <c r="B85" i="4"/>
  <c r="B108" i="4" s="1"/>
  <c r="C102" i="3"/>
  <c r="C131" i="3" s="1"/>
  <c r="C116" i="3"/>
  <c r="H116" i="3" s="1"/>
  <c r="C108" i="5"/>
  <c r="H108" i="5" s="1"/>
  <c r="B94" i="5"/>
  <c r="B121" i="5" s="1"/>
  <c r="C146" i="3"/>
  <c r="H146" i="3" s="1"/>
  <c r="B133" i="3"/>
  <c r="B162" i="3" s="1"/>
  <c r="B98" i="2"/>
  <c r="B126" i="2" s="1"/>
  <c r="C113" i="2"/>
  <c r="H113" i="2" s="1"/>
  <c r="C53" i="2"/>
  <c r="H53" i="2" s="1"/>
  <c r="C40" i="2"/>
  <c r="C66" i="2" s="1"/>
  <c r="C55" i="5"/>
  <c r="H55" i="5" s="1"/>
  <c r="C40" i="5"/>
  <c r="C65" i="5" s="1"/>
  <c r="E38" i="5"/>
  <c r="C51" i="4"/>
  <c r="H51" i="4" s="1"/>
  <c r="C36" i="4"/>
  <c r="C58" i="4" s="1"/>
  <c r="D133" i="3"/>
  <c r="D162" i="3" s="1"/>
  <c r="F38" i="2" l="1"/>
  <c r="F9" i="2"/>
  <c r="F10" i="2" s="1"/>
  <c r="E10" i="4"/>
  <c r="E11" i="4" s="1"/>
  <c r="H59" i="5"/>
  <c r="D39" i="5" s="1"/>
  <c r="H56" i="2"/>
  <c r="D256" i="2"/>
  <c r="B23" i="7" s="1"/>
  <c r="C272" i="2"/>
  <c r="H272" i="2" s="1"/>
  <c r="B33" i="7" s="1"/>
  <c r="H52" i="4"/>
  <c r="D35" i="4" s="1"/>
  <c r="E34" i="4"/>
  <c r="C86" i="3"/>
  <c r="H86" i="3" s="1"/>
  <c r="F69" i="3"/>
  <c r="C180" i="3"/>
  <c r="H180" i="3" s="1"/>
  <c r="D164" i="3"/>
  <c r="D194" i="3" s="1"/>
  <c r="C177" i="3"/>
  <c r="H177" i="3" s="1"/>
  <c r="B164" i="3"/>
  <c r="C133" i="3"/>
  <c r="C162" i="3" s="1"/>
  <c r="C147" i="3"/>
  <c r="H147" i="3" s="1"/>
  <c r="C124" i="4"/>
  <c r="H124" i="4" s="1"/>
  <c r="B110" i="4"/>
  <c r="B133" i="4" s="1"/>
  <c r="C60" i="4"/>
  <c r="C83" i="4" s="1"/>
  <c r="C75" i="4"/>
  <c r="H75" i="4" s="1"/>
  <c r="B123" i="5"/>
  <c r="B149" i="5" s="1"/>
  <c r="C137" i="5"/>
  <c r="H137" i="5" s="1"/>
  <c r="C81" i="2"/>
  <c r="H81" i="2" s="1"/>
  <c r="C68" i="2"/>
  <c r="C96" i="2" s="1"/>
  <c r="C67" i="5"/>
  <c r="C92" i="5" s="1"/>
  <c r="C82" i="5"/>
  <c r="H82" i="5" s="1"/>
  <c r="C143" i="2"/>
  <c r="H143" i="2" s="1"/>
  <c r="B128" i="2"/>
  <c r="B158" i="2" s="1"/>
  <c r="E39" i="2" l="1"/>
  <c r="E40" i="2" s="1"/>
  <c r="E66" i="2" s="1"/>
  <c r="F66" i="2" s="1"/>
  <c r="D40" i="5"/>
  <c r="D65" i="5" s="1"/>
  <c r="E65" i="5" s="1"/>
  <c r="E39" i="5"/>
  <c r="E40" i="5" s="1"/>
  <c r="H88" i="3"/>
  <c r="E70" i="3" s="1"/>
  <c r="D36" i="4"/>
  <c r="D58" i="4" s="1"/>
  <c r="C76" i="4" s="1"/>
  <c r="H76" i="4" s="1"/>
  <c r="E35" i="4"/>
  <c r="E36" i="4" s="1"/>
  <c r="B194" i="3"/>
  <c r="B151" i="5"/>
  <c r="B177" i="5" s="1"/>
  <c r="C165" i="5"/>
  <c r="H165" i="5" s="1"/>
  <c r="C178" i="3"/>
  <c r="H178" i="3" s="1"/>
  <c r="C164" i="3"/>
  <c r="C194" i="3" s="1"/>
  <c r="C175" i="2"/>
  <c r="H175" i="2" s="1"/>
  <c r="B160" i="2"/>
  <c r="B189" i="2" s="1"/>
  <c r="C149" i="4"/>
  <c r="H149" i="4" s="1"/>
  <c r="B135" i="4"/>
  <c r="B158" i="4" s="1"/>
  <c r="C85" i="4"/>
  <c r="C108" i="4" s="1"/>
  <c r="C100" i="4"/>
  <c r="H100" i="4" s="1"/>
  <c r="C94" i="5"/>
  <c r="C121" i="5" s="1"/>
  <c r="C109" i="5"/>
  <c r="H109" i="5" s="1"/>
  <c r="C98" i="2"/>
  <c r="C126" i="2" s="1"/>
  <c r="C111" i="2"/>
  <c r="H111" i="2" s="1"/>
  <c r="E10" i="3" l="1"/>
  <c r="E11" i="3" s="1"/>
  <c r="F39" i="2"/>
  <c r="F40" i="2" s="1"/>
  <c r="C83" i="5"/>
  <c r="E58" i="4"/>
  <c r="C82" i="2"/>
  <c r="H82" i="2" s="1"/>
  <c r="F70" i="3"/>
  <c r="E71" i="3"/>
  <c r="E100" i="3" s="1"/>
  <c r="F100" i="3" s="1"/>
  <c r="H77" i="4"/>
  <c r="D59" i="4" s="1"/>
  <c r="C174" i="4"/>
  <c r="H174" i="4" s="1"/>
  <c r="B160" i="4"/>
  <c r="B186" i="4" s="1"/>
  <c r="B196" i="3"/>
  <c r="B227" i="3" s="1"/>
  <c r="C209" i="3"/>
  <c r="H209" i="3" s="1"/>
  <c r="D196" i="3"/>
  <c r="D227" i="3" s="1"/>
  <c r="C212" i="3"/>
  <c r="H212" i="3" s="1"/>
  <c r="C138" i="5"/>
  <c r="H138" i="5" s="1"/>
  <c r="C123" i="5"/>
  <c r="C149" i="5" s="1"/>
  <c r="C141" i="2"/>
  <c r="H141" i="2" s="1"/>
  <c r="C128" i="2"/>
  <c r="C158" i="2" s="1"/>
  <c r="C125" i="4"/>
  <c r="H125" i="4" s="1"/>
  <c r="C110" i="4"/>
  <c r="C133" i="4" s="1"/>
  <c r="H83" i="5" l="1"/>
  <c r="F10" i="3"/>
  <c r="F11" i="3" s="1"/>
  <c r="B188" i="4"/>
  <c r="B210" i="4" s="1"/>
  <c r="C202" i="4"/>
  <c r="H202" i="4" s="1"/>
  <c r="C117" i="3"/>
  <c r="B229" i="3"/>
  <c r="B258" i="3" s="1"/>
  <c r="C242" i="3"/>
  <c r="H242" i="3" s="1"/>
  <c r="D229" i="3"/>
  <c r="D258" i="3" s="1"/>
  <c r="C245" i="3"/>
  <c r="H245" i="3" s="1"/>
  <c r="E59" i="4"/>
  <c r="E60" i="4" s="1"/>
  <c r="D60" i="4"/>
  <c r="D83" i="4" s="1"/>
  <c r="E83" i="4" s="1"/>
  <c r="C210" i="3"/>
  <c r="H210" i="3" s="1"/>
  <c r="C196" i="3"/>
  <c r="C227" i="3" s="1"/>
  <c r="C166" i="5"/>
  <c r="H166" i="5" s="1"/>
  <c r="C151" i="5"/>
  <c r="C177" i="5" s="1"/>
  <c r="C193" i="5"/>
  <c r="H193" i="5" s="1"/>
  <c r="B179" i="5"/>
  <c r="B207" i="5" s="1"/>
  <c r="B191" i="2"/>
  <c r="B222" i="2" s="1"/>
  <c r="C206" i="2"/>
  <c r="H206" i="2" s="1"/>
  <c r="C173" i="2"/>
  <c r="H173" i="2" s="1"/>
  <c r="C160" i="2"/>
  <c r="C189" i="2" s="1"/>
  <c r="C135" i="4"/>
  <c r="C158" i="4" s="1"/>
  <c r="C150" i="4"/>
  <c r="H150" i="4" s="1"/>
  <c r="H86" i="5" l="1"/>
  <c r="D66" i="5" s="1"/>
  <c r="D67" i="5" s="1"/>
  <c r="D92" i="5" s="1"/>
  <c r="H117" i="3"/>
  <c r="H119" i="3" s="1"/>
  <c r="E101" i="3" s="1"/>
  <c r="E102" i="3" s="1"/>
  <c r="E131" i="3" s="1"/>
  <c r="H85" i="2"/>
  <c r="E67" i="2" s="1"/>
  <c r="F67" i="2" s="1"/>
  <c r="B209" i="5"/>
  <c r="B235" i="5" s="1"/>
  <c r="C223" i="5"/>
  <c r="H223" i="5" s="1"/>
  <c r="C101" i="4"/>
  <c r="H101" i="4" s="1"/>
  <c r="C226" i="4"/>
  <c r="H226" i="4" s="1"/>
  <c r="D32" i="7" s="1"/>
  <c r="B212" i="4"/>
  <c r="D20" i="7" s="1"/>
  <c r="C243" i="3"/>
  <c r="H243" i="3" s="1"/>
  <c r="C229" i="3"/>
  <c r="C258" i="3" s="1"/>
  <c r="B260" i="3"/>
  <c r="C20" i="7" s="1"/>
  <c r="C273" i="3"/>
  <c r="H273" i="3" s="1"/>
  <c r="C32" i="7" s="1"/>
  <c r="B224" i="2"/>
  <c r="B254" i="2" s="1"/>
  <c r="C239" i="2"/>
  <c r="H239" i="2" s="1"/>
  <c r="D260" i="3"/>
  <c r="C276" i="3"/>
  <c r="H276" i="3" s="1"/>
  <c r="C33" i="7" s="1"/>
  <c r="C175" i="4"/>
  <c r="H175" i="4" s="1"/>
  <c r="C160" i="4"/>
  <c r="C186" i="4" s="1"/>
  <c r="E66" i="5" l="1"/>
  <c r="E67" i="5" s="1"/>
  <c r="C110" i="5"/>
  <c r="H110" i="5" s="1"/>
  <c r="H113" i="5" s="1"/>
  <c r="D93" i="5" s="1"/>
  <c r="D94" i="5" s="1"/>
  <c r="D121" i="5" s="1"/>
  <c r="E121" i="5" s="1"/>
  <c r="E92" i="5"/>
  <c r="E68" i="2"/>
  <c r="E96" i="2" s="1"/>
  <c r="F96" i="2" s="1"/>
  <c r="C23" i="7"/>
  <c r="F23" i="7" s="1"/>
  <c r="B237" i="5"/>
  <c r="E20" i="7" s="1"/>
  <c r="C251" i="5"/>
  <c r="H251" i="5" s="1"/>
  <c r="E32" i="7" s="1"/>
  <c r="F101" i="3"/>
  <c r="H102" i="4"/>
  <c r="D84" i="4" s="1"/>
  <c r="C203" i="4"/>
  <c r="H203" i="4" s="1"/>
  <c r="C188" i="4"/>
  <c r="C210" i="4" s="1"/>
  <c r="C274" i="3"/>
  <c r="H274" i="3" s="1"/>
  <c r="C260" i="3"/>
  <c r="C21" i="7" s="1"/>
  <c r="B256" i="2"/>
  <c r="B20" i="7" s="1"/>
  <c r="C271" i="2"/>
  <c r="H271" i="2" s="1"/>
  <c r="B32" i="7" s="1"/>
  <c r="F131" i="3"/>
  <c r="C148" i="3"/>
  <c r="H148" i="3" s="1"/>
  <c r="C194" i="5"/>
  <c r="H194" i="5" s="1"/>
  <c r="C179" i="5"/>
  <c r="C207" i="5" s="1"/>
  <c r="C191" i="2"/>
  <c r="C222" i="2" s="1"/>
  <c r="C204" i="2"/>
  <c r="H204" i="2" s="1"/>
  <c r="E93" i="5" l="1"/>
  <c r="E94" i="5" s="1"/>
  <c r="C112" i="2"/>
  <c r="H112" i="2" s="1"/>
  <c r="C139" i="5"/>
  <c r="C224" i="5"/>
  <c r="H224" i="5" s="1"/>
  <c r="C209" i="5"/>
  <c r="C235" i="5" s="1"/>
  <c r="E84" i="4"/>
  <c r="E85" i="4" s="1"/>
  <c r="D85" i="4"/>
  <c r="D108" i="4" s="1"/>
  <c r="E108" i="4" s="1"/>
  <c r="C227" i="4"/>
  <c r="H227" i="4" s="1"/>
  <c r="C212" i="4"/>
  <c r="D21" i="7" s="1"/>
  <c r="C237" i="2"/>
  <c r="H237" i="2" s="1"/>
  <c r="C224" i="2"/>
  <c r="C254" i="2" s="1"/>
  <c r="F20" i="7"/>
  <c r="B41" i="7" s="1"/>
  <c r="H139" i="5" l="1"/>
  <c r="H150" i="3"/>
  <c r="E132" i="3" s="1"/>
  <c r="F132" i="3" s="1"/>
  <c r="H115" i="2"/>
  <c r="E97" i="2" s="1"/>
  <c r="F97" i="2" s="1"/>
  <c r="C252" i="5"/>
  <c r="H252" i="5" s="1"/>
  <c r="C237" i="5"/>
  <c r="E21" i="7" s="1"/>
  <c r="C126" i="4"/>
  <c r="C269" i="2"/>
  <c r="H269" i="2" s="1"/>
  <c r="C256" i="2"/>
  <c r="B21" i="7" s="1"/>
  <c r="F21" i="7" l="1"/>
  <c r="H142" i="5"/>
  <c r="D122" i="5" s="1"/>
  <c r="E122" i="5" s="1"/>
  <c r="E123" i="5" s="1"/>
  <c r="H126" i="4"/>
  <c r="E98" i="2"/>
  <c r="E126" i="2" s="1"/>
  <c r="F126" i="2" s="1"/>
  <c r="E133" i="3"/>
  <c r="E162" i="3" s="1"/>
  <c r="F162" i="3" s="1"/>
  <c r="D123" i="5" l="1"/>
  <c r="D149" i="5" s="1"/>
  <c r="H127" i="4"/>
  <c r="D109" i="4" s="1"/>
  <c r="D110" i="4" s="1"/>
  <c r="D133" i="4" s="1"/>
  <c r="E133" i="4" s="1"/>
  <c r="C179" i="3"/>
  <c r="H179" i="3" s="1"/>
  <c r="H181" i="3" s="1"/>
  <c r="E163" i="3" s="1"/>
  <c r="F163" i="3" s="1"/>
  <c r="C142" i="2"/>
  <c r="H142" i="2" s="1"/>
  <c r="H145" i="2" s="1"/>
  <c r="E127" i="2" s="1"/>
  <c r="F127" i="2" s="1"/>
  <c r="C167" i="5" l="1"/>
  <c r="H167" i="5" s="1"/>
  <c r="E149" i="5"/>
  <c r="E109" i="4"/>
  <c r="E110" i="4" s="1"/>
  <c r="C151" i="4"/>
  <c r="E128" i="2"/>
  <c r="E158" i="2" s="1"/>
  <c r="F158" i="2" s="1"/>
  <c r="E164" i="3"/>
  <c r="E194" i="3" s="1"/>
  <c r="F68" i="2"/>
  <c r="F98" i="2"/>
  <c r="F128" i="2"/>
  <c r="F41" i="3"/>
  <c r="F71" i="3"/>
  <c r="F102" i="3"/>
  <c r="F133" i="3"/>
  <c r="F164" i="3"/>
  <c r="H170" i="5" l="1"/>
  <c r="D150" i="5" s="1"/>
  <c r="H151" i="4"/>
  <c r="C174" i="2"/>
  <c r="H174" i="2" s="1"/>
  <c r="F194" i="3"/>
  <c r="C211" i="3"/>
  <c r="H211" i="3" s="1"/>
  <c r="E150" i="5" l="1"/>
  <c r="E151" i="5" s="1"/>
  <c r="D151" i="5"/>
  <c r="D177" i="5" s="1"/>
  <c r="H152" i="4"/>
  <c r="D134" i="4" s="1"/>
  <c r="E134" i="4" s="1"/>
  <c r="E135" i="4" s="1"/>
  <c r="H177" i="2"/>
  <c r="E159" i="2" s="1"/>
  <c r="F159" i="2" s="1"/>
  <c r="F160" i="2" s="1"/>
  <c r="C195" i="5" l="1"/>
  <c r="H195" i="5" s="1"/>
  <c r="E177" i="5"/>
  <c r="D135" i="4"/>
  <c r="D158" i="4" s="1"/>
  <c r="C176" i="4" s="1"/>
  <c r="H176" i="4" s="1"/>
  <c r="E160" i="2"/>
  <c r="E189" i="2" s="1"/>
  <c r="C205" i="2" s="1"/>
  <c r="H205" i="2" s="1"/>
  <c r="H213" i="3"/>
  <c r="E195" i="3" s="1"/>
  <c r="F195" i="3" s="1"/>
  <c r="F196" i="3" s="1"/>
  <c r="H198" i="5" l="1"/>
  <c r="D178" i="5" s="1"/>
  <c r="H177" i="4"/>
  <c r="D159" i="4" s="1"/>
  <c r="E159" i="4" s="1"/>
  <c r="E158" i="4"/>
  <c r="F189" i="2"/>
  <c r="E196" i="3"/>
  <c r="E227" i="3" s="1"/>
  <c r="C244" i="3" s="1"/>
  <c r="H244" i="3" s="1"/>
  <c r="H208" i="2"/>
  <c r="E178" i="5" l="1"/>
  <c r="E179" i="5" s="1"/>
  <c r="D179" i="5"/>
  <c r="D207" i="5" s="1"/>
  <c r="D160" i="4"/>
  <c r="D186" i="4" s="1"/>
  <c r="C204" i="4" s="1"/>
  <c r="E160" i="4"/>
  <c r="F227" i="3"/>
  <c r="H246" i="3"/>
  <c r="E228" i="3" s="1"/>
  <c r="E229" i="3" s="1"/>
  <c r="E258" i="3" s="1"/>
  <c r="C275" i="3" s="1"/>
  <c r="E190" i="2"/>
  <c r="F190" i="2" s="1"/>
  <c r="F191" i="2" s="1"/>
  <c r="E186" i="4" l="1"/>
  <c r="C225" i="5"/>
  <c r="H225" i="5" s="1"/>
  <c r="E207" i="5"/>
  <c r="H275" i="3"/>
  <c r="H277" i="3" s="1"/>
  <c r="E259" i="3" s="1"/>
  <c r="E260" i="3" s="1"/>
  <c r="C22" i="7" s="1"/>
  <c r="H204" i="4"/>
  <c r="E191" i="2"/>
  <c r="E222" i="2" s="1"/>
  <c r="C238" i="2" s="1"/>
  <c r="H238" i="2" s="1"/>
  <c r="F228" i="3"/>
  <c r="F229" i="3" s="1"/>
  <c r="F258" i="3"/>
  <c r="H228" i="5" l="1"/>
  <c r="D208" i="5" s="1"/>
  <c r="H205" i="4"/>
  <c r="D187" i="4" s="1"/>
  <c r="E187" i="4" s="1"/>
  <c r="E188" i="4" s="1"/>
  <c r="C34" i="7"/>
  <c r="C35" i="7" s="1"/>
  <c r="C36" i="7" s="1"/>
  <c r="C24" i="7"/>
  <c r="C26" i="7" s="1"/>
  <c r="F222" i="2"/>
  <c r="F259" i="3"/>
  <c r="F260" i="3" s="1"/>
  <c r="D209" i="5" l="1"/>
  <c r="D235" i="5" s="1"/>
  <c r="E208" i="5"/>
  <c r="E209" i="5" s="1"/>
  <c r="D188" i="4"/>
  <c r="D210" i="4" s="1"/>
  <c r="E210" i="4" s="1"/>
  <c r="H241" i="2"/>
  <c r="E223" i="2" s="1"/>
  <c r="F223" i="2" s="1"/>
  <c r="F224" i="2" s="1"/>
  <c r="C228" i="4" l="1"/>
  <c r="H228" i="4" s="1"/>
  <c r="H229" i="4" s="1"/>
  <c r="D211" i="4" s="1"/>
  <c r="E211" i="4" s="1"/>
  <c r="E212" i="4" s="1"/>
  <c r="C253" i="5"/>
  <c r="H253" i="5" s="1"/>
  <c r="E235" i="5"/>
  <c r="E224" i="2"/>
  <c r="E254" i="2" s="1"/>
  <c r="C270" i="2" s="1"/>
  <c r="D34" i="7" l="1"/>
  <c r="D35" i="7" s="1"/>
  <c r="H256" i="5"/>
  <c r="D236" i="5" s="1"/>
  <c r="E34" i="7"/>
  <c r="E35" i="7" s="1"/>
  <c r="D212" i="4"/>
  <c r="D22" i="7" s="1"/>
  <c r="D24" i="7" s="1"/>
  <c r="D26" i="7" s="1"/>
  <c r="F254" i="2"/>
  <c r="H270" i="2"/>
  <c r="B34" i="7" s="1"/>
  <c r="B35" i="7" s="1"/>
  <c r="E236" i="5" l="1"/>
  <c r="E237" i="5" s="1"/>
  <c r="D237" i="5"/>
  <c r="E22" i="7" s="1"/>
  <c r="E24" i="7" s="1"/>
  <c r="E26" i="7" s="1"/>
  <c r="D36" i="7"/>
  <c r="H273" i="2"/>
  <c r="E255" i="2" s="1"/>
  <c r="E36" i="7" l="1"/>
  <c r="F255" i="2"/>
  <c r="F256" i="2" s="1"/>
  <c r="E256" i="2"/>
  <c r="B22" i="7" s="1"/>
  <c r="F22" i="7" l="1"/>
  <c r="B42" i="7" s="1"/>
  <c r="B44" i="7" s="1"/>
  <c r="A44" i="7" s="1"/>
  <c r="B24" i="7"/>
  <c r="B36" i="7"/>
  <c r="B26" i="7" l="1"/>
  <c r="F24" i="7"/>
  <c r="F26" i="7" s="1"/>
  <c r="F27" i="7" s="1"/>
</calcChain>
</file>

<file path=xl/comments1.xml><?xml version="1.0" encoding="utf-8"?>
<comments xmlns="http://schemas.openxmlformats.org/spreadsheetml/2006/main">
  <authors>
    <author>Gustavo</author>
  </authors>
  <commentList>
    <comment ref="B3" authorId="0">
      <text>
        <r>
          <rPr>
            <sz val="9"/>
            <color indexed="81"/>
            <rFont val="Tahoma"/>
            <family val="2"/>
          </rPr>
          <t xml:space="preserve">El calculo de dias entre fechas debe ser coherente con el divisor de cálculo del interés
</t>
        </r>
      </text>
    </comment>
    <comment ref="B5" authorId="0">
      <text>
        <r>
          <rPr>
            <sz val="9"/>
            <color indexed="81"/>
            <rFont val="Tahoma"/>
            <family val="2"/>
          </rPr>
          <t xml:space="preserve">Introduzca valor variable de 0 a 10%
</t>
        </r>
      </text>
    </comment>
    <comment ref="B6" authorId="0">
      <text>
        <r>
          <rPr>
            <sz val="9"/>
            <color indexed="81"/>
            <rFont val="Tahoma"/>
            <family val="2"/>
          </rPr>
          <t>Selecciona enre la Libor insinuada o la la menor comparada con la obtenida de fuente web para el período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Introduzca valor variable de 0 a 10%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Seleccione de lista la fecha de corte. Fecha de concurso 2/9/21. Fecha de insinuación 1/3/22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Insertar valor de 0 a 10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<sst xmlns="http://schemas.openxmlformats.org/spreadsheetml/2006/main" count="3558" uniqueCount="160">
  <si>
    <t xml:space="preserve"> </t>
  </si>
  <si>
    <t>Total</t>
  </si>
  <si>
    <t/>
  </si>
  <si>
    <t>36533-00</t>
  </si>
  <si>
    <t>36533-01</t>
  </si>
  <si>
    <t>36533-03</t>
  </si>
  <si>
    <t>36533-04</t>
  </si>
  <si>
    <t>Spread</t>
  </si>
  <si>
    <t>Capital Adeudado</t>
  </si>
  <si>
    <t>Préstamo A1</t>
  </si>
  <si>
    <t>Préstamo B1</t>
  </si>
  <si>
    <t>Préstamo A2</t>
  </si>
  <si>
    <t>Préstamo B2</t>
  </si>
  <si>
    <t>Interés Moratorio</t>
  </si>
  <si>
    <t>Interés Punitorio</t>
  </si>
  <si>
    <t>Otros Cargos</t>
  </si>
  <si>
    <t xml:space="preserve">Capital </t>
  </si>
  <si>
    <t xml:space="preserve">Interés </t>
  </si>
  <si>
    <t>Interés</t>
  </si>
  <si>
    <t xml:space="preserve">Otros Cargos </t>
  </si>
  <si>
    <t xml:space="preserve"> Interés </t>
  </si>
  <si>
    <t>Fecha Desde (Incluída)</t>
  </si>
  <si>
    <t>Fecha Hasta (Excluída)</t>
  </si>
  <si>
    <t>Descripción</t>
  </si>
  <si>
    <t>DESARROLLO DEL CÁLCULO</t>
  </si>
  <si>
    <t>Tasa</t>
  </si>
  <si>
    <t>Saldo</t>
  </si>
  <si>
    <t>Base de Cálculo</t>
  </si>
  <si>
    <t>Saldo Impago</t>
  </si>
  <si>
    <t>Punitorio S/Capital</t>
  </si>
  <si>
    <t>Punitorio S/Interés</t>
  </si>
  <si>
    <t>Punitorio Otros Cargos</t>
  </si>
  <si>
    <t>CARGO DE SUPERVISIÓN</t>
  </si>
  <si>
    <t>DETALLE OTROS CARGOS</t>
  </si>
  <si>
    <t>Deuda Total por Concepto</t>
  </si>
  <si>
    <t>Días</t>
  </si>
  <si>
    <t>Deuda Anterior</t>
  </si>
  <si>
    <t>Deuda Actual</t>
  </si>
  <si>
    <t>Deuda Total</t>
  </si>
  <si>
    <t>Monto</t>
  </si>
  <si>
    <t>Date</t>
  </si>
  <si>
    <t>Week day</t>
  </si>
  <si>
    <t>ON</t>
  </si>
  <si>
    <t>1W</t>
  </si>
  <si>
    <t>1M</t>
  </si>
  <si>
    <t>2M</t>
  </si>
  <si>
    <t>3M</t>
  </si>
  <si>
    <t>6M</t>
  </si>
  <si>
    <t>12M</t>
  </si>
  <si>
    <t>Tue</t>
  </si>
  <si>
    <t>Wed</t>
  </si>
  <si>
    <t>Thu</t>
  </si>
  <si>
    <t>Fri</t>
  </si>
  <si>
    <t>Mon</t>
  </si>
  <si>
    <t>VARIABLES DE CÁLCULO</t>
  </si>
  <si>
    <t>Forma de Cálculo de Días</t>
  </si>
  <si>
    <t>Interes 360 o 365</t>
  </si>
  <si>
    <t>Spread Máximo</t>
  </si>
  <si>
    <t>Libor Seleccionada</t>
  </si>
  <si>
    <t>Fecha Tope de Cálculo</t>
  </si>
  <si>
    <t>MULTAS</t>
  </si>
  <si>
    <t>Δ Punitorio</t>
  </si>
  <si>
    <t>SI</t>
  </si>
  <si>
    <t>Int. x Incumplimiento</t>
  </si>
  <si>
    <t>MONTOS EN USD</t>
  </si>
  <si>
    <t>MONTO ORIGINAL DEL PRESTAMO</t>
  </si>
  <si>
    <t>CAPITAL CANCELADO</t>
  </si>
  <si>
    <t>DETALLE DE PRESTAMOS Y CUOTAS</t>
  </si>
  <si>
    <t>TASAS ANUALES BASE 360</t>
  </si>
  <si>
    <t>PRESTAMO</t>
  </si>
  <si>
    <t>MONTO</t>
  </si>
  <si>
    <t>CUOTAS 
SEMESTRALES</t>
  </si>
  <si>
    <t>PRIMERA CUOTA</t>
  </si>
  <si>
    <t>ULTIMA CUOTA</t>
  </si>
  <si>
    <t>TASA COMP
 LIBOR 6 MESES</t>
  </si>
  <si>
    <t>SPREAD S/
LIBOR</t>
  </si>
  <si>
    <t>A1-36533-00</t>
  </si>
  <si>
    <t>B1-36533-01</t>
  </si>
  <si>
    <t>A2-36533-03</t>
  </si>
  <si>
    <t>B2-36533-04</t>
  </si>
  <si>
    <t>DESEMBOLSOS</t>
  </si>
  <si>
    <t>FECHA</t>
  </si>
  <si>
    <t>TOTAL</t>
  </si>
  <si>
    <t>CAP AMORTIZADO</t>
  </si>
  <si>
    <t>PAGOS PARCIALES</t>
  </si>
  <si>
    <t>INTERES</t>
  </si>
  <si>
    <t>CAPITAL</t>
  </si>
  <si>
    <t>A1</t>
  </si>
  <si>
    <t>B1</t>
  </si>
  <si>
    <t>B2</t>
  </si>
  <si>
    <t>A2</t>
  </si>
  <si>
    <t>TOTALES</t>
  </si>
  <si>
    <t>CAPITAL
 AMORTIZADO</t>
  </si>
  <si>
    <t>SALDO DE
CAPITAL</t>
  </si>
  <si>
    <t>FECHA DE
MORA</t>
  </si>
  <si>
    <t>FECHA DE
CALCULO</t>
  </si>
  <si>
    <t>PERIODOS DE
CAPITALIZ</t>
  </si>
  <si>
    <t>INTERES TOTAL
C/CAPITALIZACIÓN</t>
  </si>
  <si>
    <t>MENSUAL</t>
  </si>
  <si>
    <t>ALTERNATIVAS DE CAPITALIZACIÓN DE INTERESES</t>
  </si>
  <si>
    <t>BIMESTRAL</t>
  </si>
  <si>
    <t>TRIMESTRAL</t>
  </si>
  <si>
    <t>CUATRIMESTRAL</t>
  </si>
  <si>
    <t>SEMESTRAL</t>
  </si>
  <si>
    <r>
      <rPr>
        <sz val="11"/>
        <color theme="1"/>
        <rFont val="Calibri"/>
        <family val="2"/>
      </rPr>
      <t xml:space="preserve">Δ </t>
    </r>
    <r>
      <rPr>
        <sz val="11"/>
        <color theme="1"/>
        <rFont val="Calibri"/>
        <family val="2"/>
        <scheme val="minor"/>
      </rPr>
      <t>PUNIT</t>
    </r>
  </si>
  <si>
    <t>Admite Capitalización de Intereses</t>
  </si>
  <si>
    <t>MONTOS INSINUADOS</t>
  </si>
  <si>
    <t>DIFERENCIAS</t>
  </si>
  <si>
    <t>Admite Capital Otros Cargos</t>
  </si>
  <si>
    <t>Admite Punitorios Otros Cargos</t>
  </si>
  <si>
    <t>Cargo del Período</t>
  </si>
  <si>
    <t>Cargo Administrativo</t>
  </si>
  <si>
    <t>TOTALES POR PRESTAMO</t>
  </si>
  <si>
    <t>TASA 
TOTAL PUNITORIO</t>
  </si>
  <si>
    <t>DEUDA CAPITAL</t>
  </si>
  <si>
    <t>AMORT CAPITAL</t>
  </si>
  <si>
    <t>PAGO INTERESES</t>
  </si>
  <si>
    <t>TABLA DINAMICA PAGOS EFECTUADOS</t>
  </si>
  <si>
    <t>TASA MÁXIMA NOMINAL
ANUAL</t>
  </si>
  <si>
    <t>TASA NOMINAL
CONTRACTUAL ANUAL</t>
  </si>
  <si>
    <t>PERIODOS DE
CAPITALIZACIÓN</t>
  </si>
  <si>
    <t>CALCULO DE CARGOS EXTRAS</t>
  </si>
  <si>
    <t>CARGO SUPERVISIÓN</t>
  </si>
  <si>
    <t>MULTA</t>
  </si>
  <si>
    <t>CARGO ADMINISTRATIVO</t>
  </si>
  <si>
    <t>CARGO</t>
  </si>
  <si>
    <t>TASA ANUAL
CONTRACTUAL</t>
  </si>
  <si>
    <t>Tasa Morigerada</t>
  </si>
  <si>
    <t>A1-A2</t>
  </si>
  <si>
    <t>Libor</t>
  </si>
  <si>
    <t>Punit</t>
  </si>
  <si>
    <t>B1-B2</t>
  </si>
  <si>
    <t>TASAS DE INTERES RESULTANTES
SEGÚN PARÁMETROS SELECCIONADOS</t>
  </si>
  <si>
    <t>Mora</t>
  </si>
  <si>
    <t>Menor</t>
  </si>
  <si>
    <t>Promedio</t>
  </si>
  <si>
    <t>Solicitada</t>
  </si>
  <si>
    <t>SELECCIONADA</t>
  </si>
  <si>
    <t>RESUMEN GENERAL S/VARIABLES SELECCIONADAS</t>
  </si>
  <si>
    <t>TASA LIBOR 6 MESES DEL PERÍODO (Fuente: www.liborate.com/usd-libor/)</t>
  </si>
  <si>
    <t xml:space="preserve">Tasa Total Máxima Admitida </t>
  </si>
  <si>
    <t>Inicial s/fuente</t>
  </si>
  <si>
    <t>Final s/fuente</t>
  </si>
  <si>
    <t>INTERESES TOTALES CALCULADOS</t>
  </si>
  <si>
    <t>Días totales según forma de cálculo seleccionada</t>
  </si>
  <si>
    <t>CAPITAL TOTAL</t>
  </si>
  <si>
    <t>CÁLCULO DE LA TASA EFECTIVA PROMEDIO RESULTANTE PARA TODO EL PERÍODO (*)</t>
  </si>
  <si>
    <t>(*) ES UN CÁLCULO APROXIMADO POR NO PONDERAR DISTINTOS MONTOS DE CAPITAL EN EL TIEMPO</t>
  </si>
  <si>
    <t>Y POR LA DISTORSIÓN QUE GENERA LA  CAPITALIZACIÓN DE INTERESES SI SE ACEPTA</t>
  </si>
  <si>
    <t>DETALLE DE MONTOS POR TIPO DE INTERES</t>
  </si>
  <si>
    <t>INTERESES MORATORIOS S/CAPITAL</t>
  </si>
  <si>
    <t>INTERESES CAPITALIZADOS</t>
  </si>
  <si>
    <t>TASA LIBOR 6 MESES DEL PERÍODO (Fuente: iborate.com/usd-libor/)</t>
  </si>
  <si>
    <t>INTERESES PUNITORIOS S/OTROS CARGOS</t>
  </si>
  <si>
    <t>INTERESES PUNITORIOS S/CAPITAL</t>
  </si>
  <si>
    <t>TOTAL INTERESES SEGÚN PARÁMETROS SELECCIONADOS</t>
  </si>
  <si>
    <t>TASAS CONTRACTUALES</t>
  </si>
  <si>
    <r>
      <rPr>
        <b/>
        <sz val="14"/>
        <color rgb="FF000000"/>
        <rFont val="Calibri"/>
        <family val="2"/>
      </rPr>
      <t>Δ</t>
    </r>
    <r>
      <rPr>
        <b/>
        <sz val="14"/>
        <color rgb="FF00000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Punitorio</t>
    </r>
  </si>
  <si>
    <t>Spread contractual s/Libor 180</t>
  </si>
  <si>
    <t>Morig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</si>
</sst>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0"/>
    <numFmt numFmtId="165" formatCode="0.000%"/>
    <numFmt numFmtId="166" formatCode="#,##0.00_ ;[Red]\-#,##0.00\ "/>
    <numFmt numFmtId="167" formatCode="0.0000%"/>
    <numFmt numFmtId="168" formatCode="#,##0.0000"/>
    <numFmt numFmtId="169" formatCode="#,##0.00000"/>
    <numFmt numFmtId="170" formatCode="0.00000"/>
  </numFmts>
  <fonts count="36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u/>
      <sz val="10"/>
      <color indexed="8"/>
      <name val="Arial Black"/>
      <family val="2"/>
    </font>
    <font>
      <b/>
      <sz val="10"/>
      <color rgb="FFFF0000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indexed="8"/>
      <name val="Verdana"/>
      <family val="2"/>
    </font>
    <font>
      <sz val="8"/>
      <name val="Arial"/>
      <family val="2"/>
    </font>
    <font>
      <sz val="11"/>
      <color theme="1"/>
      <name val="Calibri"/>
      <family val="2"/>
    </font>
    <font>
      <b/>
      <sz val="12"/>
      <color rgb="FFFF000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000000"/>
      <name val="Calibri"/>
      <family val="2"/>
    </font>
    <font>
      <b/>
      <sz val="14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name val="Calibri"/>
      <family val="2"/>
    </font>
    <font>
      <b/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5" fillId="0" borderId="0"/>
    <xf numFmtId="0" fontId="14" fillId="0" borderId="0"/>
    <xf numFmtId="9" fontId="10" fillId="0" borderId="0" applyFont="0" applyFill="0" applyBorder="0" applyAlignment="0" applyProtection="0"/>
    <xf numFmtId="0" fontId="4" fillId="0" borderId="0"/>
  </cellStyleXfs>
  <cellXfs count="198">
    <xf numFmtId="0" fontId="0" fillId="0" borderId="0" xfId="0"/>
    <xf numFmtId="0" fontId="5" fillId="0" borderId="0" xfId="2"/>
    <xf numFmtId="0" fontId="12" fillId="0" borderId="0" xfId="2" applyFont="1"/>
    <xf numFmtId="0" fontId="0" fillId="0" borderId="0" xfId="0" applyAlignment="1">
      <alignment vertical="center"/>
    </xf>
    <xf numFmtId="14" fontId="6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4" fontId="6" fillId="0" borderId="1" xfId="1" applyNumberFormat="1" applyFont="1" applyBorder="1" applyAlignment="1">
      <alignment vertical="center" wrapText="1"/>
    </xf>
    <xf numFmtId="14" fontId="6" fillId="0" borderId="1" xfId="1" applyNumberFormat="1" applyFont="1" applyBorder="1" applyAlignment="1">
      <alignment vertical="center" wrapText="1"/>
    </xf>
    <xf numFmtId="0" fontId="15" fillId="0" borderId="1" xfId="3" applyFont="1" applyBorder="1" applyAlignment="1">
      <alignment horizontal="center" vertical="center"/>
    </xf>
    <xf numFmtId="0" fontId="14" fillId="0" borderId="0" xfId="3" applyAlignment="1">
      <alignment horizontal="center" vertical="center"/>
    </xf>
    <xf numFmtId="14" fontId="14" fillId="0" borderId="1" xfId="3" applyNumberFormat="1" applyBorder="1" applyAlignment="1">
      <alignment horizontal="center" vertical="center"/>
    </xf>
    <xf numFmtId="0" fontId="14" fillId="0" borderId="1" xfId="3" applyBorder="1" applyAlignment="1">
      <alignment horizontal="center" vertical="center"/>
    </xf>
    <xf numFmtId="0" fontId="14" fillId="0" borderId="0" xfId="3" applyAlignment="1">
      <alignment horizontal="center"/>
    </xf>
    <xf numFmtId="0" fontId="14" fillId="0" borderId="0" xfId="3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6" fillId="0" borderId="2" xfId="0" applyFont="1" applyBorder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14" fontId="20" fillId="2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1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2" fontId="0" fillId="0" borderId="0" xfId="0" applyNumberForma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2" fontId="16" fillId="0" borderId="0" xfId="0" applyNumberFormat="1" applyFont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4" fillId="0" borderId="0" xfId="5"/>
    <xf numFmtId="0" fontId="4" fillId="0" borderId="1" xfId="5" applyBorder="1" applyAlignment="1">
      <alignment horizontal="center" vertical="center"/>
    </xf>
    <xf numFmtId="0" fontId="4" fillId="0" borderId="1" xfId="5" applyBorder="1" applyAlignment="1">
      <alignment horizontal="center" vertical="center" wrapText="1"/>
    </xf>
    <xf numFmtId="14" fontId="4" fillId="0" borderId="1" xfId="5" applyNumberFormat="1" applyBorder="1" applyAlignment="1">
      <alignment horizontal="center" vertical="center"/>
    </xf>
    <xf numFmtId="3" fontId="4" fillId="0" borderId="1" xfId="5" applyNumberFormat="1" applyBorder="1" applyAlignment="1">
      <alignment vertical="center"/>
    </xf>
    <xf numFmtId="165" fontId="4" fillId="0" borderId="1" xfId="5" applyNumberFormat="1" applyBorder="1" applyAlignment="1">
      <alignment horizontal="center" vertical="center"/>
    </xf>
    <xf numFmtId="10" fontId="4" fillId="0" borderId="1" xfId="5" applyNumberFormat="1" applyBorder="1" applyAlignment="1">
      <alignment horizontal="center" vertical="center"/>
    </xf>
    <xf numFmtId="9" fontId="4" fillId="0" borderId="1" xfId="5" applyNumberFormat="1" applyBorder="1" applyAlignment="1">
      <alignment horizontal="center" vertical="center"/>
    </xf>
    <xf numFmtId="0" fontId="18" fillId="0" borderId="4" xfId="5" applyFont="1" applyBorder="1" applyAlignment="1">
      <alignment horizontal="left" vertical="center"/>
    </xf>
    <xf numFmtId="0" fontId="4" fillId="0" borderId="0" xfId="5" applyAlignment="1">
      <alignment vertical="center"/>
    </xf>
    <xf numFmtId="0" fontId="11" fillId="0" borderId="1" xfId="5" applyFont="1" applyBorder="1" applyAlignment="1">
      <alignment horizontal="center" vertical="center"/>
    </xf>
    <xf numFmtId="4" fontId="11" fillId="0" borderId="1" xfId="5" applyNumberFormat="1" applyFont="1" applyBorder="1" applyAlignment="1">
      <alignment vertical="center"/>
    </xf>
    <xf numFmtId="0" fontId="4" fillId="0" borderId="1" xfId="5" applyBorder="1" applyAlignment="1">
      <alignment vertical="center"/>
    </xf>
    <xf numFmtId="4" fontId="4" fillId="0" borderId="1" xfId="5" applyNumberFormat="1" applyBorder="1" applyAlignment="1">
      <alignment vertical="center"/>
    </xf>
    <xf numFmtId="0" fontId="11" fillId="0" borderId="1" xfId="5" applyFont="1" applyBorder="1" applyAlignment="1">
      <alignment horizontal="center" vertical="center" wrapText="1"/>
    </xf>
    <xf numFmtId="166" fontId="4" fillId="0" borderId="1" xfId="5" applyNumberFormat="1" applyBorder="1" applyAlignment="1">
      <alignment vertical="center"/>
    </xf>
    <xf numFmtId="0" fontId="4" fillId="4" borderId="1" xfId="5" applyFill="1" applyBorder="1"/>
    <xf numFmtId="0" fontId="19" fillId="0" borderId="1" xfId="5" applyFont="1" applyBorder="1" applyAlignment="1" applyProtection="1">
      <alignment horizontal="center" vertical="center" wrapText="1"/>
      <protection locked="0"/>
    </xf>
    <xf numFmtId="14" fontId="23" fillId="5" borderId="0" xfId="0" applyNumberFormat="1" applyFont="1" applyFill="1" applyAlignment="1">
      <alignment horizontal="center" vertical="center"/>
    </xf>
    <xf numFmtId="0" fontId="11" fillId="0" borderId="1" xfId="5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4" fontId="0" fillId="0" borderId="1" xfId="0" applyNumberFormat="1" applyBorder="1"/>
    <xf numFmtId="14" fontId="3" fillId="0" borderId="1" xfId="5" applyNumberFormat="1" applyFont="1" applyBorder="1" applyAlignment="1">
      <alignment horizontal="center" vertical="center"/>
    </xf>
    <xf numFmtId="0" fontId="11" fillId="0" borderId="1" xfId="5" applyFont="1" applyBorder="1" applyAlignment="1">
      <alignment horizontal="center" vertical="center" wrapText="1"/>
    </xf>
    <xf numFmtId="166" fontId="4" fillId="0" borderId="0" xfId="5" applyNumberFormat="1" applyAlignment="1">
      <alignment vertical="center"/>
    </xf>
    <xf numFmtId="0" fontId="2" fillId="0" borderId="1" xfId="5" applyFont="1" applyBorder="1" applyAlignment="1">
      <alignment vertical="center"/>
    </xf>
    <xf numFmtId="167" fontId="4" fillId="0" borderId="1" xfId="4" applyNumberFormat="1" applyFont="1" applyBorder="1" applyAlignment="1">
      <alignment horizontal="center"/>
    </xf>
    <xf numFmtId="0" fontId="4" fillId="0" borderId="7" xfId="5" applyBorder="1" applyAlignment="1">
      <alignment horizontal="center" vertical="center"/>
    </xf>
    <xf numFmtId="166" fontId="4" fillId="0" borderId="1" xfId="5" applyNumberFormat="1" applyBorder="1"/>
    <xf numFmtId="0" fontId="2" fillId="0" borderId="1" xfId="5" applyFont="1" applyBorder="1" applyAlignment="1">
      <alignment horizontal="center" vertical="center"/>
    </xf>
    <xf numFmtId="14" fontId="2" fillId="0" borderId="1" xfId="5" applyNumberFormat="1" applyFont="1" applyBorder="1" applyAlignment="1">
      <alignment horizontal="center" vertical="center"/>
    </xf>
    <xf numFmtId="0" fontId="11" fillId="0" borderId="0" xfId="5" applyFont="1"/>
    <xf numFmtId="0" fontId="0" fillId="0" borderId="0" xfId="0" applyAlignment="1">
      <alignment vertical="center"/>
    </xf>
    <xf numFmtId="4" fontId="6" fillId="0" borderId="0" xfId="0" applyNumberFormat="1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2" fontId="16" fillId="0" borderId="0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4" fontId="6" fillId="0" borderId="0" xfId="0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11" fillId="0" borderId="1" xfId="2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1" fillId="0" borderId="26" xfId="2" applyFont="1" applyBorder="1" applyAlignment="1">
      <alignment horizontal="center" vertical="center"/>
    </xf>
    <xf numFmtId="2" fontId="11" fillId="6" borderId="1" xfId="2" applyNumberFormat="1" applyFont="1" applyFill="1" applyBorder="1" applyAlignment="1">
      <alignment horizontal="center" vertical="center"/>
    </xf>
    <xf numFmtId="14" fontId="14" fillId="7" borderId="1" xfId="3" applyNumberFormat="1" applyFill="1" applyBorder="1" applyAlignment="1">
      <alignment horizontal="center" vertical="center"/>
    </xf>
    <xf numFmtId="0" fontId="14" fillId="7" borderId="1" xfId="3" applyFill="1" applyBorder="1" applyAlignment="1">
      <alignment horizontal="center" vertical="center"/>
    </xf>
    <xf numFmtId="0" fontId="28" fillId="0" borderId="0" xfId="2" applyFont="1"/>
    <xf numFmtId="0" fontId="29" fillId="0" borderId="0" xfId="2" applyFont="1"/>
    <xf numFmtId="0" fontId="30" fillId="5" borderId="1" xfId="3" applyFont="1" applyFill="1" applyBorder="1" applyAlignment="1">
      <alignment horizontal="center" vertical="center"/>
    </xf>
    <xf numFmtId="0" fontId="28" fillId="5" borderId="0" xfId="2" applyFont="1" applyFill="1" applyAlignment="1">
      <alignment horizontal="center"/>
    </xf>
    <xf numFmtId="0" fontId="29" fillId="0" borderId="7" xfId="2" applyFont="1" applyBorder="1" applyAlignment="1">
      <alignment horizontal="center" vertical="center"/>
    </xf>
    <xf numFmtId="0" fontId="29" fillId="0" borderId="15" xfId="2" applyFont="1" applyBorder="1" applyAlignment="1">
      <alignment horizontal="center" vertical="center"/>
    </xf>
    <xf numFmtId="0" fontId="29" fillId="0" borderId="6" xfId="2" applyFont="1" applyBorder="1" applyAlignment="1">
      <alignment horizontal="center" vertical="center"/>
    </xf>
    <xf numFmtId="0" fontId="29" fillId="0" borderId="24" xfId="2" applyFont="1" applyBorder="1" applyAlignment="1">
      <alignment horizontal="center" vertical="center"/>
    </xf>
    <xf numFmtId="0" fontId="29" fillId="0" borderId="26" xfId="2" applyFont="1" applyBorder="1" applyAlignment="1">
      <alignment horizontal="center" vertical="center"/>
    </xf>
    <xf numFmtId="0" fontId="31" fillId="0" borderId="1" xfId="2" applyFont="1" applyBorder="1" applyAlignment="1">
      <alignment vertical="center"/>
    </xf>
    <xf numFmtId="0" fontId="32" fillId="0" borderId="1" xfId="2" applyFont="1" applyBorder="1" applyAlignment="1" applyProtection="1">
      <alignment horizontal="center" vertical="center"/>
      <protection locked="0"/>
    </xf>
    <xf numFmtId="0" fontId="29" fillId="0" borderId="1" xfId="2" applyFont="1" applyBorder="1" applyAlignment="1">
      <alignment horizontal="center" vertical="center"/>
    </xf>
    <xf numFmtId="14" fontId="29" fillId="0" borderId="1" xfId="2" applyNumberFormat="1" applyFont="1" applyBorder="1" applyAlignment="1">
      <alignment horizontal="center" vertical="center"/>
    </xf>
    <xf numFmtId="0" fontId="28" fillId="0" borderId="1" xfId="2" applyFont="1" applyBorder="1" applyAlignment="1">
      <alignment horizontal="center" vertical="center"/>
    </xf>
    <xf numFmtId="2" fontId="28" fillId="0" borderId="1" xfId="2" applyNumberFormat="1" applyFont="1" applyBorder="1" applyAlignment="1">
      <alignment horizontal="center" vertical="center"/>
    </xf>
    <xf numFmtId="2" fontId="29" fillId="0" borderId="1" xfId="2" applyNumberFormat="1" applyFont="1" applyBorder="1" applyAlignment="1">
      <alignment horizontal="center" vertical="center"/>
    </xf>
    <xf numFmtId="2" fontId="29" fillId="6" borderId="1" xfId="2" applyNumberFormat="1" applyFont="1" applyFill="1" applyBorder="1" applyAlignment="1">
      <alignment horizontal="center" vertical="center"/>
    </xf>
    <xf numFmtId="2" fontId="32" fillId="0" borderId="1" xfId="4" applyNumberFormat="1" applyFont="1" applyBorder="1" applyAlignment="1" applyProtection="1">
      <alignment horizontal="center" vertical="center"/>
      <protection locked="0"/>
    </xf>
    <xf numFmtId="170" fontId="28" fillId="0" borderId="1" xfId="2" applyNumberFormat="1" applyFont="1" applyBorder="1" applyAlignment="1">
      <alignment horizontal="center" vertical="center"/>
    </xf>
    <xf numFmtId="0" fontId="33" fillId="0" borderId="1" xfId="2" applyFont="1" applyBorder="1" applyAlignment="1">
      <alignment vertical="center"/>
    </xf>
    <xf numFmtId="14" fontId="32" fillId="0" borderId="1" xfId="2" applyNumberFormat="1" applyFont="1" applyBorder="1" applyAlignment="1" applyProtection="1">
      <alignment horizontal="center" vertical="center"/>
      <protection locked="0"/>
    </xf>
    <xf numFmtId="0" fontId="34" fillId="0" borderId="1" xfId="2" applyFont="1" applyBorder="1" applyAlignment="1">
      <alignment vertical="center"/>
    </xf>
    <xf numFmtId="15" fontId="28" fillId="0" borderId="0" xfId="2" applyNumberFormat="1" applyFont="1"/>
    <xf numFmtId="0" fontId="35" fillId="3" borderId="8" xfId="2" applyFont="1" applyFill="1" applyBorder="1" applyAlignment="1">
      <alignment horizontal="center" vertical="center"/>
    </xf>
    <xf numFmtId="0" fontId="35" fillId="3" borderId="9" xfId="2" applyFont="1" applyFill="1" applyBorder="1" applyAlignment="1">
      <alignment horizontal="center" vertical="center"/>
    </xf>
    <xf numFmtId="0" fontId="35" fillId="3" borderId="1" xfId="2" applyFont="1" applyFill="1" applyBorder="1" applyAlignment="1">
      <alignment horizontal="center" vertical="center"/>
    </xf>
    <xf numFmtId="0" fontId="35" fillId="3" borderId="11" xfId="2" applyFont="1" applyFill="1" applyBorder="1" applyAlignment="1">
      <alignment horizontal="center" vertical="center"/>
    </xf>
    <xf numFmtId="0" fontId="35" fillId="3" borderId="10" xfId="2" applyFont="1" applyFill="1" applyBorder="1" applyAlignment="1">
      <alignment vertical="center"/>
    </xf>
    <xf numFmtId="2" fontId="35" fillId="3" borderId="1" xfId="2" applyNumberFormat="1" applyFont="1" applyFill="1" applyBorder="1" applyAlignment="1">
      <alignment horizontal="center" vertical="center"/>
    </xf>
    <xf numFmtId="4" fontId="35" fillId="3" borderId="1" xfId="2" applyNumberFormat="1" applyFont="1" applyFill="1" applyBorder="1" applyAlignment="1">
      <alignment horizontal="right" vertical="center"/>
    </xf>
    <xf numFmtId="4" fontId="35" fillId="3" borderId="11" xfId="2" applyNumberFormat="1" applyFont="1" applyFill="1" applyBorder="1" applyAlignment="1">
      <alignment horizontal="right" vertical="center"/>
    </xf>
    <xf numFmtId="0" fontId="29" fillId="0" borderId="10" xfId="2" applyFont="1" applyBorder="1" applyAlignment="1">
      <alignment vertical="center"/>
    </xf>
    <xf numFmtId="4" fontId="28" fillId="0" borderId="1" xfId="2" applyNumberFormat="1" applyFont="1" applyBorder="1" applyAlignment="1">
      <alignment vertical="center"/>
    </xf>
    <xf numFmtId="4" fontId="28" fillId="0" borderId="11" xfId="2" applyNumberFormat="1" applyFont="1" applyBorder="1" applyAlignment="1">
      <alignment vertical="center"/>
    </xf>
    <xf numFmtId="0" fontId="28" fillId="0" borderId="1" xfId="2" applyFont="1" applyBorder="1" applyAlignment="1">
      <alignment vertical="center"/>
    </xf>
    <xf numFmtId="0" fontId="29" fillId="0" borderId="21" xfId="2" applyFont="1" applyBorder="1" applyAlignment="1">
      <alignment vertical="center"/>
    </xf>
    <xf numFmtId="4" fontId="29" fillId="0" borderId="13" xfId="2" applyNumberFormat="1" applyFont="1" applyBorder="1" applyAlignment="1">
      <alignment vertical="center"/>
    </xf>
    <xf numFmtId="166" fontId="31" fillId="0" borderId="14" xfId="2" applyNumberFormat="1" applyFont="1" applyBorder="1" applyAlignment="1">
      <alignment vertical="center"/>
    </xf>
    <xf numFmtId="4" fontId="29" fillId="0" borderId="14" xfId="2" applyNumberFormat="1" applyFont="1" applyBorder="1" applyAlignment="1">
      <alignment vertical="center"/>
    </xf>
    <xf numFmtId="0" fontId="29" fillId="0" borderId="12" xfId="2" applyFont="1" applyBorder="1" applyAlignment="1">
      <alignment vertical="center"/>
    </xf>
    <xf numFmtId="0" fontId="32" fillId="0" borderId="0" xfId="2" applyFont="1" applyAlignment="1">
      <alignment horizontal="center" vertical="center"/>
    </xf>
    <xf numFmtId="0" fontId="28" fillId="0" borderId="1" xfId="2" applyFont="1" applyBorder="1"/>
    <xf numFmtId="4" fontId="28" fillId="0" borderId="1" xfId="2" applyNumberFormat="1" applyFont="1" applyBorder="1"/>
    <xf numFmtId="0" fontId="29" fillId="0" borderId="1" xfId="2" applyFont="1" applyBorder="1"/>
    <xf numFmtId="4" fontId="29" fillId="0" borderId="1" xfId="2" applyNumberFormat="1" applyFont="1" applyBorder="1"/>
    <xf numFmtId="0" fontId="34" fillId="0" borderId="0" xfId="2" applyFont="1" applyAlignment="1">
      <alignment horizontal="center"/>
    </xf>
    <xf numFmtId="4" fontId="28" fillId="0" borderId="0" xfId="2" applyNumberFormat="1" applyFont="1"/>
    <xf numFmtId="0" fontId="29" fillId="0" borderId="1" xfId="2" applyFont="1" applyBorder="1" applyAlignment="1">
      <alignment vertical="center"/>
    </xf>
    <xf numFmtId="167" fontId="29" fillId="0" borderId="1" xfId="4" applyNumberFormat="1" applyFont="1" applyBorder="1" applyAlignment="1">
      <alignment horizontal="center" vertical="center"/>
    </xf>
    <xf numFmtId="0" fontId="34" fillId="0" borderId="0" xfId="2" applyFont="1"/>
    <xf numFmtId="0" fontId="29" fillId="0" borderId="1" xfId="2" applyFont="1" applyBorder="1" applyAlignment="1">
      <alignment horizontal="center"/>
    </xf>
    <xf numFmtId="0" fontId="35" fillId="3" borderId="16" xfId="2" applyFont="1" applyFill="1" applyBorder="1" applyAlignment="1">
      <alignment horizontal="center" vertical="center"/>
    </xf>
    <xf numFmtId="0" fontId="35" fillId="3" borderId="17" xfId="2" applyFont="1" applyFill="1" applyBorder="1" applyAlignment="1">
      <alignment horizontal="center" vertical="center"/>
    </xf>
    <xf numFmtId="0" fontId="29" fillId="0" borderId="18" xfId="2" applyFont="1" applyBorder="1" applyAlignment="1">
      <alignment horizontal="center" vertical="center"/>
    </xf>
    <xf numFmtId="0" fontId="29" fillId="0" borderId="19" xfId="2" applyFont="1" applyBorder="1" applyAlignment="1">
      <alignment horizontal="center" vertical="center"/>
    </xf>
    <xf numFmtId="0" fontId="29" fillId="0" borderId="20" xfId="2" applyFont="1" applyBorder="1" applyAlignment="1">
      <alignment horizontal="center" vertical="center"/>
    </xf>
    <xf numFmtId="0" fontId="29" fillId="0" borderId="22" xfId="2" applyFont="1" applyBorder="1" applyAlignment="1">
      <alignment horizontal="center" vertical="center" wrapText="1"/>
    </xf>
    <xf numFmtId="0" fontId="29" fillId="0" borderId="23" xfId="2" applyFont="1" applyBorder="1" applyAlignment="1">
      <alignment horizontal="center" vertical="center" wrapText="1"/>
    </xf>
    <xf numFmtId="0" fontId="29" fillId="0" borderId="24" xfId="2" applyFont="1" applyBorder="1" applyAlignment="1">
      <alignment horizontal="center" vertical="center" wrapText="1"/>
    </xf>
    <xf numFmtId="0" fontId="29" fillId="0" borderId="25" xfId="2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1" fillId="0" borderId="1" xfId="5" applyFont="1" applyBorder="1" applyAlignment="1">
      <alignment horizontal="center" vertical="center" wrapText="1"/>
    </xf>
    <xf numFmtId="0" fontId="11" fillId="0" borderId="5" xfId="5" applyFont="1" applyBorder="1" applyAlignment="1">
      <alignment horizontal="center" vertical="center" wrapText="1"/>
    </xf>
    <xf numFmtId="0" fontId="11" fillId="0" borderId="3" xfId="5" applyFont="1" applyBorder="1" applyAlignment="1">
      <alignment horizontal="center" vertical="center" wrapText="1"/>
    </xf>
    <xf numFmtId="165" fontId="19" fillId="0" borderId="1" xfId="5" applyNumberFormat="1" applyFont="1" applyBorder="1" applyAlignment="1" applyProtection="1">
      <alignment horizontal="center" vertical="center" wrapText="1"/>
      <protection locked="0"/>
    </xf>
    <xf numFmtId="0" fontId="19" fillId="0" borderId="1" xfId="5" applyFont="1" applyBorder="1" applyAlignment="1" applyProtection="1">
      <alignment horizontal="center" vertical="center" wrapText="1"/>
      <protection locked="0"/>
    </xf>
    <xf numFmtId="14" fontId="19" fillId="0" borderId="1" xfId="5" applyNumberFormat="1" applyFont="1" applyBorder="1" applyAlignment="1" applyProtection="1">
      <alignment horizontal="center" vertical="center" wrapText="1"/>
      <protection locked="0"/>
    </xf>
    <xf numFmtId="0" fontId="11" fillId="0" borderId="5" xfId="5" applyFont="1" applyBorder="1" applyAlignment="1">
      <alignment horizontal="center" vertical="center"/>
    </xf>
    <xf numFmtId="0" fontId="11" fillId="0" borderId="3" xfId="5" applyFont="1" applyBorder="1" applyAlignment="1">
      <alignment horizontal="center" vertical="center"/>
    </xf>
    <xf numFmtId="0" fontId="11" fillId="0" borderId="7" xfId="5" applyFont="1" applyBorder="1" applyAlignment="1">
      <alignment horizontal="center" vertical="center"/>
    </xf>
    <xf numFmtId="0" fontId="11" fillId="0" borderId="15" xfId="5" applyFont="1" applyBorder="1" applyAlignment="1">
      <alignment horizontal="center" vertical="center"/>
    </xf>
    <xf numFmtId="0" fontId="11" fillId="0" borderId="6" xfId="5" applyFont="1" applyBorder="1" applyAlignment="1">
      <alignment horizontal="center" vertical="center"/>
    </xf>
    <xf numFmtId="165" fontId="19" fillId="0" borderId="5" xfId="5" applyNumberFormat="1" applyFont="1" applyBorder="1" applyAlignment="1" applyProtection="1">
      <alignment horizontal="center" vertical="center"/>
      <protection locked="0"/>
    </xf>
    <xf numFmtId="165" fontId="19" fillId="0" borderId="4" xfId="5" applyNumberFormat="1" applyFont="1" applyBorder="1" applyAlignment="1" applyProtection="1">
      <alignment horizontal="center" vertical="center"/>
      <protection locked="0"/>
    </xf>
    <xf numFmtId="165" fontId="19" fillId="0" borderId="3" xfId="5" applyNumberFormat="1" applyFont="1" applyBorder="1" applyAlignment="1" applyProtection="1">
      <alignment horizontal="center" vertical="center"/>
      <protection locked="0"/>
    </xf>
    <xf numFmtId="14" fontId="19" fillId="0" borderId="1" xfId="5" applyNumberFormat="1" applyFont="1" applyBorder="1" applyAlignment="1" applyProtection="1">
      <alignment horizontal="center" vertical="center"/>
      <protection locked="0"/>
    </xf>
    <xf numFmtId="0" fontId="19" fillId="0" borderId="1" xfId="5" applyFont="1" applyBorder="1" applyAlignment="1" applyProtection="1">
      <alignment horizontal="center" vertical="center"/>
      <protection locked="0"/>
    </xf>
    <xf numFmtId="0" fontId="11" fillId="0" borderId="1" xfId="5" applyFont="1" applyBorder="1" applyAlignment="1">
      <alignment horizontal="center" vertical="center"/>
    </xf>
  </cellXfs>
  <cellStyles count="6">
    <cellStyle name="Normal" xfId="0" builtinId="0"/>
    <cellStyle name="Normal 2" xfId="1"/>
    <cellStyle name="Normal 3" xfId="2"/>
    <cellStyle name="Normal 4" xfId="3"/>
    <cellStyle name="Normal 5" xfId="5"/>
    <cellStyle name="Porcentaje" xfId="4" builtinId="5"/>
  </cellStyles>
  <dxfs count="17"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ustavo" refreshedDate="44866.837956944444" createdVersion="8" refreshedVersion="8" minRefreshableVersion="3" recordCount="19">
  <cacheSource type="worksheet">
    <worksheetSource ref="A22:D41" sheet="CALCULOS"/>
  </cacheSource>
  <cacheFields count="4">
    <cacheField name="FECHA" numFmtId="14">
      <sharedItems containsSemiMixedTypes="0" containsNonDate="0" containsDate="1" containsString="0" minDate="2016-09-22T00:00:00" maxDate="2018-03-17T00:00:00"/>
    </cacheField>
    <cacheField name="PRESTAMO" numFmtId="0">
      <sharedItems count="4">
        <s v="A1"/>
        <s v="B1"/>
        <s v="A2"/>
        <s v="B2"/>
      </sharedItems>
    </cacheField>
    <cacheField name="INTERES" numFmtId="4">
      <sharedItems containsSemiMixedTypes="0" containsString="0" containsNumber="1" minValue="90990.399999999994" maxValue="1643988.89"/>
    </cacheField>
    <cacheField name="CAPITAL" numFmtId="4">
      <sharedItems containsString="0" containsBlank="1" containsNumber="1" minValue="900000" maxValue="625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">
  <r>
    <d v="2016-09-22T00:00:00"/>
    <x v="0"/>
    <n v="403163.33"/>
    <m/>
  </r>
  <r>
    <d v="2016-09-22T00:00:00"/>
    <x v="1"/>
    <n v="617077.78"/>
    <m/>
  </r>
  <r>
    <d v="2017-03-15T00:00:00"/>
    <x v="2"/>
    <n v="524897.1"/>
    <m/>
  </r>
  <r>
    <d v="2017-03-16T00:00:00"/>
    <x v="0"/>
    <n v="1107974.17"/>
    <m/>
  </r>
  <r>
    <d v="2017-03-16T00:00:00"/>
    <x v="1"/>
    <n v="1570929.16"/>
    <m/>
  </r>
  <r>
    <d v="2017-03-16T00:00:00"/>
    <x v="2"/>
    <n v="90990.399999999994"/>
    <m/>
  </r>
  <r>
    <d v="2017-03-16T00:00:00"/>
    <x v="3"/>
    <n v="725920.65"/>
    <m/>
  </r>
  <r>
    <d v="2017-03-16T00:00:00"/>
    <x v="3"/>
    <n v="125885.6"/>
    <m/>
  </r>
  <r>
    <d v="2017-09-15T00:00:00"/>
    <x v="0"/>
    <n v="1063060"/>
    <m/>
  </r>
  <r>
    <d v="2017-09-15T00:00:00"/>
    <x v="1"/>
    <n v="1643988.89"/>
    <n v="6250000"/>
  </r>
  <r>
    <d v="2017-09-15T00:00:00"/>
    <x v="2"/>
    <n v="892970.4"/>
    <m/>
  </r>
  <r>
    <d v="2017-09-15T00:00:00"/>
    <x v="2"/>
    <n v="170089.60000000001"/>
    <m/>
  </r>
  <r>
    <d v="2017-09-15T00:00:00"/>
    <x v="3"/>
    <n v="1242855.6000000001"/>
    <m/>
  </r>
  <r>
    <d v="2017-09-15T00:00:00"/>
    <x v="3"/>
    <n v="1226962.8"/>
    <n v="4725000"/>
  </r>
  <r>
    <d v="2018-03-16T00:00:00"/>
    <x v="0"/>
    <n v="1049196.67"/>
    <n v="2307692.1"/>
  </r>
  <r>
    <d v="2018-03-16T00:00:00"/>
    <x v="1"/>
    <n v="1420095.84"/>
    <n v="6250000"/>
  </r>
  <r>
    <d v="2018-03-16T00:00:00"/>
    <x v="2"/>
    <n v="881325.2"/>
    <m/>
  </r>
  <r>
    <d v="2018-03-16T00:00:00"/>
    <x v="2"/>
    <n v="167871.47"/>
    <m/>
  </r>
  <r>
    <d v="2018-03-16T00:00:00"/>
    <x v="3"/>
    <n v="233707.2"/>
    <n v="90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" applyNumberFormats="0" applyBorderFormats="0" applyFontFormats="0" applyPatternFormats="0" applyAlignmentFormats="0" applyWidthHeightFormats="1" dataCaption="Valores" grandTotalCaption="TOTALES" updatedVersion="8" minRefreshableVersion="3" useAutoFormatting="1" itemPrintTitles="1" createdVersion="8" indent="0" outline="1" outlineData="1" multipleFieldFilters="0" rowHeaderCaption="PRESTAMO">
  <location ref="H24:J29" firstHeaderRow="0" firstDataRow="1" firstDataCol="1"/>
  <pivotFields count="4">
    <pivotField numFmtId="14" showAll="0"/>
    <pivotField axis="axisRow" showAll="0">
      <items count="5">
        <item x="0"/>
        <item x="2"/>
        <item x="1"/>
        <item x="3"/>
        <item t="default"/>
      </items>
    </pivotField>
    <pivotField dataField="1" numFmtId="4" showAll="0"/>
    <pivotField dataField="1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AMORT CAPITAL" fld="3" baseField="0" baseItem="0"/>
    <dataField name="PAGO INTERESES" fld="2" baseField="0" baseItem="0"/>
  </dataFields>
  <formats count="7">
    <format dxfId="6">
      <pivotArea type="all" dataOnly="0" outline="0" fieldPosition="0"/>
    </format>
    <format dxfId="5">
      <pivotArea outline="0" collapsedLevelsAreSubtotals="1" fieldPosition="0"/>
    </format>
    <format dxfId="4">
      <pivotArea field="1" type="button" dataOnly="0" labelOnly="1" outline="0" axis="axisRow" fieldPosition="0"/>
    </format>
    <format dxfId="3">
      <pivotArea dataOnly="0" labelOnly="1" fieldPosition="0">
        <references count="1">
          <reference field="1" count="0"/>
        </references>
      </pivotArea>
    </format>
    <format dxfId="2">
      <pivotArea dataOnly="0" labelOnly="1" grandRow="1" outline="0" fieldPosition="0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P49"/>
  <sheetViews>
    <sheetView tabSelected="1" zoomScale="80" zoomScaleNormal="80" workbookViewId="0">
      <selection activeCell="B11" sqref="B11"/>
    </sheetView>
  </sheetViews>
  <sheetFormatPr baseColWidth="10" defaultColWidth="8.85546875" defaultRowHeight="15" x14ac:dyDescent="0.25"/>
  <cols>
    <col min="1" max="1" width="46.5703125" style="1" customWidth="1"/>
    <col min="2" max="2" width="16.5703125" style="1" customWidth="1"/>
    <col min="3" max="3" width="18.7109375" style="1" customWidth="1"/>
    <col min="4" max="5" width="16.85546875" style="1" customWidth="1"/>
    <col min="6" max="6" width="22.5703125" style="1" customWidth="1"/>
    <col min="7" max="7" width="7.140625" style="1" bestFit="1" customWidth="1"/>
    <col min="8" max="8" width="7.7109375" style="1" bestFit="1" customWidth="1"/>
    <col min="9" max="9" width="7.28515625" style="1" bestFit="1" customWidth="1"/>
    <col min="10" max="10" width="8.140625" style="1" bestFit="1" customWidth="1"/>
    <col min="11" max="11" width="10.140625" style="1" bestFit="1" customWidth="1"/>
    <col min="12" max="12" width="9.7109375" style="1" bestFit="1" customWidth="1"/>
    <col min="13" max="13" width="7.140625" style="1" bestFit="1" customWidth="1"/>
    <col min="14" max="14" width="7.7109375" style="1" bestFit="1" customWidth="1"/>
    <col min="15" max="15" width="7.28515625" style="1" bestFit="1" customWidth="1"/>
    <col min="16" max="16" width="8.140625" style="1" bestFit="1" customWidth="1"/>
    <col min="17" max="17" width="8.42578125" style="1" customWidth="1"/>
    <col min="18" max="16384" width="8.85546875" style="1"/>
  </cols>
  <sheetData>
    <row r="1" spans="1:16" x14ac:dyDescent="0.25">
      <c r="A1" s="114" t="s">
        <v>54</v>
      </c>
      <c r="B1" s="113"/>
      <c r="C1" s="115"/>
      <c r="D1" s="115"/>
      <c r="E1" s="116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6" ht="14.45" customHeight="1" x14ac:dyDescent="0.25">
      <c r="A2" s="113"/>
      <c r="B2" s="113"/>
      <c r="C2" s="169" t="s">
        <v>132</v>
      </c>
      <c r="D2" s="170"/>
      <c r="E2" s="117" t="s">
        <v>128</v>
      </c>
      <c r="F2" s="118"/>
      <c r="G2" s="118"/>
      <c r="H2" s="118"/>
      <c r="I2" s="118"/>
      <c r="J2" s="119"/>
      <c r="K2" s="120" t="s">
        <v>131</v>
      </c>
      <c r="L2" s="121"/>
      <c r="M2" s="121"/>
      <c r="N2" s="121"/>
      <c r="O2" s="121"/>
      <c r="P2" s="109"/>
    </row>
    <row r="3" spans="1:16" ht="40.9" customHeight="1" x14ac:dyDescent="0.25">
      <c r="A3" s="122" t="s">
        <v>55</v>
      </c>
      <c r="B3" s="123">
        <v>365</v>
      </c>
      <c r="C3" s="171"/>
      <c r="D3" s="172"/>
      <c r="E3" s="124" t="s">
        <v>129</v>
      </c>
      <c r="F3" s="124" t="s">
        <v>7</v>
      </c>
      <c r="G3" s="124" t="s">
        <v>133</v>
      </c>
      <c r="H3" s="124" t="s">
        <v>130</v>
      </c>
      <c r="I3" s="124" t="s">
        <v>1</v>
      </c>
      <c r="J3" s="124" t="s">
        <v>159</v>
      </c>
      <c r="K3" s="124" t="s">
        <v>129</v>
      </c>
      <c r="L3" s="124" t="s">
        <v>7</v>
      </c>
      <c r="M3" s="124" t="s">
        <v>133</v>
      </c>
      <c r="N3" s="124" t="s">
        <v>130</v>
      </c>
      <c r="O3" s="124" t="s">
        <v>1</v>
      </c>
      <c r="P3" s="106" t="s">
        <v>159</v>
      </c>
    </row>
    <row r="4" spans="1:16" ht="20.100000000000001" customHeight="1" x14ac:dyDescent="0.25">
      <c r="A4" s="122" t="s">
        <v>56</v>
      </c>
      <c r="B4" s="123">
        <v>360</v>
      </c>
      <c r="C4" s="125">
        <f>'36533-00 USD'!A5</f>
        <v>43174</v>
      </c>
      <c r="D4" s="125">
        <f>'36533-00 USD'!B5</f>
        <v>43360</v>
      </c>
      <c r="E4" s="126">
        <f>'36533-00 USD'!N17</f>
        <v>2.4562499999999998</v>
      </c>
      <c r="F4" s="127">
        <f t="shared" ref="F4:F12" si="0">MIN($B$5,$B$17)</f>
        <v>4</v>
      </c>
      <c r="G4" s="128">
        <f>E4+F4</f>
        <v>6.4562499999999998</v>
      </c>
      <c r="H4" s="127">
        <f>$B$7</f>
        <v>2</v>
      </c>
      <c r="I4" s="128">
        <f>G4+H4</f>
        <v>8.4562500000000007</v>
      </c>
      <c r="J4" s="129">
        <f>MIN(I4,$B$12)</f>
        <v>6.5</v>
      </c>
      <c r="K4" s="126">
        <f>E4</f>
        <v>2.4562499999999998</v>
      </c>
      <c r="L4" s="127">
        <f t="shared" ref="L4:L12" si="1">MIN($B$5,$C$17)</f>
        <v>4</v>
      </c>
      <c r="M4" s="128">
        <f>K4+L4</f>
        <v>6.4562499999999998</v>
      </c>
      <c r="N4" s="127">
        <f>$B$7</f>
        <v>2</v>
      </c>
      <c r="O4" s="128">
        <f>M4+N4</f>
        <v>8.4562500000000007</v>
      </c>
      <c r="P4" s="110">
        <f>MIN(O4,$B$12)</f>
        <v>6.5</v>
      </c>
    </row>
    <row r="5" spans="1:16" ht="20.100000000000001" customHeight="1" x14ac:dyDescent="0.25">
      <c r="A5" s="122" t="s">
        <v>57</v>
      </c>
      <c r="B5" s="130">
        <v>4</v>
      </c>
      <c r="C5" s="125">
        <f>'36533-00 USD'!A35</f>
        <v>43360</v>
      </c>
      <c r="D5" s="125">
        <f>'36533-00 USD'!B35</f>
        <v>43539</v>
      </c>
      <c r="E5" s="126">
        <f>'36533-00 USD'!N47</f>
        <v>2.6212499999999999</v>
      </c>
      <c r="F5" s="127">
        <f t="shared" si="0"/>
        <v>4</v>
      </c>
      <c r="G5" s="128">
        <f t="shared" ref="G5:G11" si="2">E5+F5</f>
        <v>6.6212499999999999</v>
      </c>
      <c r="H5" s="127">
        <f t="shared" ref="H5:H12" si="3">$B$7</f>
        <v>2</v>
      </c>
      <c r="I5" s="128">
        <f t="shared" ref="I5:I12" si="4">G5+H5</f>
        <v>8.6212499999999999</v>
      </c>
      <c r="J5" s="129">
        <f t="shared" ref="J5:J12" si="5">MIN(I5,$B$12)</f>
        <v>6.5</v>
      </c>
      <c r="K5" s="126">
        <f t="shared" ref="K5:K12" si="6">E5</f>
        <v>2.6212499999999999</v>
      </c>
      <c r="L5" s="127">
        <f t="shared" si="1"/>
        <v>4</v>
      </c>
      <c r="M5" s="128">
        <f t="shared" ref="M5:M12" si="7">K5+L5</f>
        <v>6.6212499999999999</v>
      </c>
      <c r="N5" s="127">
        <f t="shared" ref="N5:N12" si="8">$B$7</f>
        <v>2</v>
      </c>
      <c r="O5" s="128">
        <f t="shared" ref="O5:O12" si="9">M5+N5</f>
        <v>8.6212499999999999</v>
      </c>
      <c r="P5" s="110">
        <f t="shared" ref="P5:P12" si="10">MIN(O5,$B$12)</f>
        <v>6.5</v>
      </c>
    </row>
    <row r="6" spans="1:16" ht="20.100000000000001" customHeight="1" x14ac:dyDescent="0.25">
      <c r="A6" s="122" t="s">
        <v>58</v>
      </c>
      <c r="B6" s="123" t="s">
        <v>135</v>
      </c>
      <c r="C6" s="125">
        <f>'36533-00 USD'!A63</f>
        <v>43539</v>
      </c>
      <c r="D6" s="125">
        <f>'36533-00 USD'!B63</f>
        <v>43724</v>
      </c>
      <c r="E6" s="131">
        <f>'36533-00 USD'!N75</f>
        <v>2.3748749999999998</v>
      </c>
      <c r="F6" s="127">
        <f t="shared" si="0"/>
        <v>4</v>
      </c>
      <c r="G6" s="128">
        <f t="shared" si="2"/>
        <v>6.3748749999999994</v>
      </c>
      <c r="H6" s="127">
        <f t="shared" si="3"/>
        <v>2</v>
      </c>
      <c r="I6" s="128">
        <f t="shared" si="4"/>
        <v>8.3748749999999994</v>
      </c>
      <c r="J6" s="129">
        <f t="shared" si="5"/>
        <v>6.5</v>
      </c>
      <c r="K6" s="126">
        <f t="shared" si="6"/>
        <v>2.3748749999999998</v>
      </c>
      <c r="L6" s="127">
        <f t="shared" si="1"/>
        <v>4</v>
      </c>
      <c r="M6" s="128">
        <f t="shared" si="7"/>
        <v>6.3748749999999994</v>
      </c>
      <c r="N6" s="127">
        <f t="shared" si="8"/>
        <v>2</v>
      </c>
      <c r="O6" s="128">
        <f t="shared" si="9"/>
        <v>8.3748749999999994</v>
      </c>
      <c r="P6" s="110">
        <f t="shared" si="10"/>
        <v>6.5</v>
      </c>
    </row>
    <row r="7" spans="1:16" ht="20.100000000000001" customHeight="1" x14ac:dyDescent="0.25">
      <c r="A7" s="132" t="s">
        <v>61</v>
      </c>
      <c r="B7" s="130">
        <v>2</v>
      </c>
      <c r="C7" s="125">
        <f>'36533-00 USD'!A93</f>
        <v>43724</v>
      </c>
      <c r="D7" s="125">
        <f>'36533-00 USD'!B93</f>
        <v>43906</v>
      </c>
      <c r="E7" s="126">
        <f>'36533-00 USD'!N105</f>
        <v>1.4608749999999999</v>
      </c>
      <c r="F7" s="127">
        <f t="shared" si="0"/>
        <v>4</v>
      </c>
      <c r="G7" s="128">
        <f t="shared" si="2"/>
        <v>5.4608749999999997</v>
      </c>
      <c r="H7" s="127">
        <f t="shared" si="3"/>
        <v>2</v>
      </c>
      <c r="I7" s="128">
        <f t="shared" si="4"/>
        <v>7.4608749999999997</v>
      </c>
      <c r="J7" s="129">
        <f t="shared" si="5"/>
        <v>6.5</v>
      </c>
      <c r="K7" s="126">
        <f t="shared" si="6"/>
        <v>1.4608749999999999</v>
      </c>
      <c r="L7" s="127">
        <f t="shared" si="1"/>
        <v>4</v>
      </c>
      <c r="M7" s="128">
        <f t="shared" si="7"/>
        <v>5.4608749999999997</v>
      </c>
      <c r="N7" s="127">
        <f t="shared" si="8"/>
        <v>2</v>
      </c>
      <c r="O7" s="128">
        <f t="shared" si="9"/>
        <v>7.4608749999999997</v>
      </c>
      <c r="P7" s="110">
        <f t="shared" si="10"/>
        <v>6.5</v>
      </c>
    </row>
    <row r="8" spans="1:16" ht="20.100000000000001" customHeight="1" x14ac:dyDescent="0.25">
      <c r="A8" s="122" t="s">
        <v>59</v>
      </c>
      <c r="B8" s="133">
        <v>44441</v>
      </c>
      <c r="C8" s="125">
        <f>'36533-00 USD'!A123</f>
        <v>43906</v>
      </c>
      <c r="D8" s="125">
        <f>'36533-00 USD'!B123</f>
        <v>44089</v>
      </c>
      <c r="E8" s="126">
        <f>'36533-00 USD'!N135</f>
        <v>0.5585</v>
      </c>
      <c r="F8" s="127">
        <f t="shared" si="0"/>
        <v>4</v>
      </c>
      <c r="G8" s="128">
        <f t="shared" si="2"/>
        <v>4.5585000000000004</v>
      </c>
      <c r="H8" s="127">
        <f t="shared" si="3"/>
        <v>2</v>
      </c>
      <c r="I8" s="128">
        <f t="shared" si="4"/>
        <v>6.5585000000000004</v>
      </c>
      <c r="J8" s="129">
        <f t="shared" si="5"/>
        <v>6.5</v>
      </c>
      <c r="K8" s="126">
        <f t="shared" si="6"/>
        <v>0.5585</v>
      </c>
      <c r="L8" s="127">
        <f t="shared" si="1"/>
        <v>4</v>
      </c>
      <c r="M8" s="128">
        <f t="shared" si="7"/>
        <v>4.5585000000000004</v>
      </c>
      <c r="N8" s="127">
        <f t="shared" si="8"/>
        <v>2</v>
      </c>
      <c r="O8" s="128">
        <f t="shared" si="9"/>
        <v>6.5585000000000004</v>
      </c>
      <c r="P8" s="110">
        <f t="shared" si="10"/>
        <v>6.5</v>
      </c>
    </row>
    <row r="9" spans="1:16" ht="20.100000000000001" customHeight="1" x14ac:dyDescent="0.25">
      <c r="A9" s="122" t="s">
        <v>108</v>
      </c>
      <c r="B9" s="123" t="s">
        <v>62</v>
      </c>
      <c r="C9" s="125">
        <f>'36533-00 USD'!A155</f>
        <v>44089</v>
      </c>
      <c r="D9" s="125">
        <f>'36533-00 USD'!B155</f>
        <v>44231</v>
      </c>
      <c r="E9" s="126">
        <f>'36533-00 USD'!N167</f>
        <v>0.24787500000000001</v>
      </c>
      <c r="F9" s="127">
        <f t="shared" si="0"/>
        <v>4</v>
      </c>
      <c r="G9" s="128">
        <f t="shared" si="2"/>
        <v>4.2478749999999996</v>
      </c>
      <c r="H9" s="127">
        <f t="shared" si="3"/>
        <v>2</v>
      </c>
      <c r="I9" s="128">
        <f t="shared" si="4"/>
        <v>6.2478749999999996</v>
      </c>
      <c r="J9" s="129">
        <f t="shared" si="5"/>
        <v>6.2478749999999996</v>
      </c>
      <c r="K9" s="126">
        <f t="shared" si="6"/>
        <v>0.24787500000000001</v>
      </c>
      <c r="L9" s="127">
        <f t="shared" si="1"/>
        <v>4</v>
      </c>
      <c r="M9" s="128">
        <f t="shared" si="7"/>
        <v>4.2478749999999996</v>
      </c>
      <c r="N9" s="127">
        <f t="shared" si="8"/>
        <v>2</v>
      </c>
      <c r="O9" s="128">
        <f t="shared" si="9"/>
        <v>6.2478749999999996</v>
      </c>
      <c r="P9" s="110">
        <f t="shared" si="10"/>
        <v>6.2478749999999996</v>
      </c>
    </row>
    <row r="10" spans="1:16" ht="20.100000000000001" customHeight="1" x14ac:dyDescent="0.25">
      <c r="A10" s="122" t="s">
        <v>109</v>
      </c>
      <c r="B10" s="123" t="s">
        <v>62</v>
      </c>
      <c r="C10" s="125">
        <f>'36533-00 USD'!A186</f>
        <v>44231</v>
      </c>
      <c r="D10" s="125">
        <f>'36533-00 USD'!B186</f>
        <v>44270</v>
      </c>
      <c r="E10" s="126">
        <f>'36533-00 USD'!N198</f>
        <v>0.21000000000000002</v>
      </c>
      <c r="F10" s="127">
        <f t="shared" si="0"/>
        <v>4</v>
      </c>
      <c r="G10" s="128">
        <f t="shared" si="2"/>
        <v>4.21</v>
      </c>
      <c r="H10" s="127">
        <f t="shared" si="3"/>
        <v>2</v>
      </c>
      <c r="I10" s="128">
        <f t="shared" si="4"/>
        <v>6.21</v>
      </c>
      <c r="J10" s="129">
        <f t="shared" si="5"/>
        <v>6.21</v>
      </c>
      <c r="K10" s="126">
        <f t="shared" si="6"/>
        <v>0.21000000000000002</v>
      </c>
      <c r="L10" s="127">
        <f t="shared" si="1"/>
        <v>4</v>
      </c>
      <c r="M10" s="128">
        <f t="shared" si="7"/>
        <v>4.21</v>
      </c>
      <c r="N10" s="127">
        <f t="shared" si="8"/>
        <v>2</v>
      </c>
      <c r="O10" s="128">
        <f t="shared" si="9"/>
        <v>6.21</v>
      </c>
      <c r="P10" s="110">
        <f t="shared" si="10"/>
        <v>6.21</v>
      </c>
    </row>
    <row r="11" spans="1:16" ht="20.100000000000001" customHeight="1" x14ac:dyDescent="0.25">
      <c r="A11" s="122" t="s">
        <v>105</v>
      </c>
      <c r="B11" s="123" t="s">
        <v>62</v>
      </c>
      <c r="C11" s="125">
        <f>'36533-00 USD'!A219</f>
        <v>44270</v>
      </c>
      <c r="D11" s="125">
        <f>'36533-00 USD'!B219</f>
        <v>44441</v>
      </c>
      <c r="E11" s="126">
        <f>'36533-00 USD'!N231</f>
        <v>0.17256500000000002</v>
      </c>
      <c r="F11" s="127">
        <f t="shared" si="0"/>
        <v>4</v>
      </c>
      <c r="G11" s="128">
        <f t="shared" si="2"/>
        <v>4.1725649999999996</v>
      </c>
      <c r="H11" s="127">
        <f t="shared" si="3"/>
        <v>2</v>
      </c>
      <c r="I11" s="128">
        <f t="shared" si="4"/>
        <v>6.1725649999999996</v>
      </c>
      <c r="J11" s="129">
        <f t="shared" si="5"/>
        <v>6.1725649999999996</v>
      </c>
      <c r="K11" s="126">
        <f t="shared" si="6"/>
        <v>0.17256500000000002</v>
      </c>
      <c r="L11" s="127">
        <f t="shared" si="1"/>
        <v>4</v>
      </c>
      <c r="M11" s="128">
        <f t="shared" si="7"/>
        <v>4.1725649999999996</v>
      </c>
      <c r="N11" s="127">
        <f t="shared" si="8"/>
        <v>2</v>
      </c>
      <c r="O11" s="128">
        <f t="shared" si="9"/>
        <v>6.1725649999999996</v>
      </c>
      <c r="P11" s="110">
        <f t="shared" si="10"/>
        <v>6.1725649999999996</v>
      </c>
    </row>
    <row r="12" spans="1:16" ht="20.100000000000001" customHeight="1" x14ac:dyDescent="0.25">
      <c r="A12" s="134" t="s">
        <v>140</v>
      </c>
      <c r="B12" s="130">
        <v>6.5</v>
      </c>
      <c r="C12" s="125">
        <f>'36533-00 USD'!A251</f>
        <v>44441</v>
      </c>
      <c r="D12" s="125">
        <f>'36533-00 USD'!B251</f>
        <v>44441</v>
      </c>
      <c r="E12" s="126">
        <f>'36533-00 USD'!N263</f>
        <v>0.14763000000000001</v>
      </c>
      <c r="F12" s="127">
        <f t="shared" si="0"/>
        <v>4</v>
      </c>
      <c r="G12" s="128">
        <f t="shared" ref="G12" si="11">E12+F12</f>
        <v>4.1476300000000004</v>
      </c>
      <c r="H12" s="127">
        <f t="shared" si="3"/>
        <v>2</v>
      </c>
      <c r="I12" s="128">
        <f t="shared" si="4"/>
        <v>6.1476300000000004</v>
      </c>
      <c r="J12" s="129">
        <f t="shared" si="5"/>
        <v>6.1476300000000004</v>
      </c>
      <c r="K12" s="126">
        <f t="shared" si="6"/>
        <v>0.14763000000000001</v>
      </c>
      <c r="L12" s="127">
        <f t="shared" si="1"/>
        <v>4</v>
      </c>
      <c r="M12" s="128">
        <f t="shared" si="7"/>
        <v>4.1476300000000004</v>
      </c>
      <c r="N12" s="127">
        <f t="shared" si="8"/>
        <v>2</v>
      </c>
      <c r="O12" s="128">
        <f t="shared" si="9"/>
        <v>6.1476300000000004</v>
      </c>
      <c r="P12" s="110">
        <f t="shared" si="10"/>
        <v>6.1476300000000004</v>
      </c>
    </row>
    <row r="13" spans="1:16" ht="20.100000000000001" customHeight="1" thickBot="1" x14ac:dyDescent="0.35">
      <c r="A13" s="2"/>
      <c r="B13" s="135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</row>
    <row r="14" spans="1:16" ht="30.75" customHeight="1" thickBot="1" x14ac:dyDescent="0.3">
      <c r="A14" s="166" t="s">
        <v>138</v>
      </c>
      <c r="B14" s="167"/>
      <c r="C14" s="167"/>
      <c r="D14" s="167"/>
      <c r="E14" s="167"/>
      <c r="F14" s="168"/>
      <c r="G14" s="113"/>
      <c r="H14" s="113"/>
      <c r="I14" s="113"/>
      <c r="J14" s="113"/>
      <c r="K14" s="113"/>
      <c r="L14" s="113"/>
      <c r="M14" s="113"/>
      <c r="N14" s="113"/>
      <c r="O14" s="113"/>
    </row>
    <row r="15" spans="1:16" ht="24.95" customHeight="1" x14ac:dyDescent="0.25">
      <c r="A15" s="164" t="s">
        <v>64</v>
      </c>
      <c r="B15" s="136" t="s">
        <v>9</v>
      </c>
      <c r="C15" s="136" t="s">
        <v>10</v>
      </c>
      <c r="D15" s="136" t="s">
        <v>11</v>
      </c>
      <c r="E15" s="136" t="s">
        <v>12</v>
      </c>
      <c r="F15" s="137" t="s">
        <v>1</v>
      </c>
      <c r="G15" s="113"/>
      <c r="H15" s="113"/>
      <c r="I15" s="113"/>
      <c r="J15" s="113"/>
      <c r="K15" s="113"/>
      <c r="L15" s="113"/>
      <c r="M15" s="113"/>
      <c r="N15" s="113"/>
      <c r="O15" s="113"/>
    </row>
    <row r="16" spans="1:16" ht="24.95" customHeight="1" x14ac:dyDescent="0.25">
      <c r="A16" s="165"/>
      <c r="B16" s="138" t="s">
        <v>3</v>
      </c>
      <c r="C16" s="138" t="s">
        <v>4</v>
      </c>
      <c r="D16" s="138" t="s">
        <v>5</v>
      </c>
      <c r="E16" s="138" t="s">
        <v>6</v>
      </c>
      <c r="F16" s="139"/>
      <c r="G16" s="113"/>
      <c r="H16" s="113"/>
      <c r="I16" s="113"/>
      <c r="J16" s="113"/>
      <c r="K16" s="113"/>
      <c r="L16" s="113"/>
      <c r="M16" s="113"/>
      <c r="N16" s="113"/>
      <c r="O16" s="113"/>
    </row>
    <row r="17" spans="1:15" ht="24.95" customHeight="1" x14ac:dyDescent="0.25">
      <c r="A17" s="140" t="s">
        <v>158</v>
      </c>
      <c r="B17" s="141">
        <v>5.5</v>
      </c>
      <c r="C17" s="141">
        <v>5</v>
      </c>
      <c r="D17" s="141">
        <v>5.5</v>
      </c>
      <c r="E17" s="141">
        <v>5</v>
      </c>
      <c r="F17" s="139"/>
      <c r="G17" s="113"/>
      <c r="H17" s="113"/>
      <c r="I17" s="113"/>
      <c r="J17" s="113"/>
      <c r="K17" s="113"/>
      <c r="L17" s="113"/>
      <c r="M17" s="113"/>
      <c r="N17" s="113"/>
      <c r="O17" s="113"/>
    </row>
    <row r="18" spans="1:15" ht="24.95" customHeight="1" x14ac:dyDescent="0.25">
      <c r="A18" s="140" t="s">
        <v>65</v>
      </c>
      <c r="B18" s="142">
        <v>30000000</v>
      </c>
      <c r="C18" s="142">
        <v>50000000</v>
      </c>
      <c r="D18" s="142">
        <v>30000000</v>
      </c>
      <c r="E18" s="142">
        <v>45000000</v>
      </c>
      <c r="F18" s="143">
        <f t="shared" ref="F18:F25" si="12">SUM(B18:E18)</f>
        <v>155000000</v>
      </c>
      <c r="G18" s="113"/>
      <c r="H18" s="113"/>
      <c r="I18" s="113"/>
      <c r="J18" s="113"/>
      <c r="K18" s="113"/>
      <c r="L18" s="113"/>
      <c r="M18" s="113"/>
      <c r="N18" s="113"/>
      <c r="O18" s="113"/>
    </row>
    <row r="19" spans="1:15" ht="24.95" customHeight="1" x14ac:dyDescent="0.25">
      <c r="A19" s="140" t="s">
        <v>66</v>
      </c>
      <c r="B19" s="142">
        <f>-CALCULOS!D26</f>
        <v>0</v>
      </c>
      <c r="C19" s="142">
        <v>-12500000</v>
      </c>
      <c r="D19" s="142"/>
      <c r="E19" s="142">
        <v>-5625000</v>
      </c>
      <c r="F19" s="143">
        <f t="shared" si="12"/>
        <v>-18125000</v>
      </c>
      <c r="G19" s="113"/>
      <c r="H19" s="113"/>
      <c r="I19" s="113"/>
      <c r="J19" s="113"/>
      <c r="K19" s="113"/>
      <c r="L19" s="113"/>
      <c r="M19" s="113"/>
      <c r="N19" s="113"/>
      <c r="O19" s="113"/>
    </row>
    <row r="20" spans="1:15" ht="24.95" customHeight="1" x14ac:dyDescent="0.25">
      <c r="A20" s="144" t="s">
        <v>8</v>
      </c>
      <c r="B20" s="145">
        <f>'36533-00 USD'!B256</f>
        <v>27692307.899999999</v>
      </c>
      <c r="C20" s="145">
        <f>'36533-01 USD'!B260</f>
        <v>37500000</v>
      </c>
      <c r="D20" s="145">
        <f>'36533-03 USD'!B212</f>
        <v>30000000</v>
      </c>
      <c r="E20" s="145">
        <f>'36533-04 USD'!B237</f>
        <v>39375000</v>
      </c>
      <c r="F20" s="146">
        <f t="shared" si="12"/>
        <v>134567307.90000001</v>
      </c>
      <c r="G20" s="113"/>
      <c r="H20" s="113"/>
      <c r="I20" s="113"/>
      <c r="J20" s="113"/>
      <c r="K20" s="113"/>
      <c r="L20" s="113"/>
      <c r="M20" s="113"/>
      <c r="N20" s="113"/>
      <c r="O20" s="113"/>
    </row>
    <row r="21" spans="1:15" ht="24.95" customHeight="1" x14ac:dyDescent="0.25">
      <c r="A21" s="144" t="s">
        <v>13</v>
      </c>
      <c r="B21" s="145">
        <f>'36533-00 USD'!C256</f>
        <v>5271718.5093693314</v>
      </c>
      <c r="C21" s="145">
        <f>'36533-01 USD'!C260</f>
        <v>7303938.5320833335</v>
      </c>
      <c r="D21" s="145">
        <f>'36533-03 USD'!C212</f>
        <v>5710579.9916666662</v>
      </c>
      <c r="E21" s="145">
        <f>'36533-04 USD'!C237</f>
        <v>7498372.34375</v>
      </c>
      <c r="F21" s="146">
        <f>SUM(B21:E21)</f>
        <v>25784609.376869332</v>
      </c>
      <c r="G21" s="113"/>
      <c r="H21" s="113"/>
      <c r="I21" s="113"/>
      <c r="J21" s="113"/>
      <c r="K21" s="113"/>
      <c r="L21" s="113"/>
      <c r="M21" s="113"/>
      <c r="N21" s="113"/>
      <c r="O21" s="113"/>
    </row>
    <row r="22" spans="1:15" ht="24.95" customHeight="1" x14ac:dyDescent="0.25">
      <c r="A22" s="144" t="s">
        <v>14</v>
      </c>
      <c r="B22" s="145">
        <f>'36533-00 USD'!E256</f>
        <v>1170746.9283500365</v>
      </c>
      <c r="C22" s="145">
        <f>'36533-01 USD'!E260</f>
        <v>1925775.2680142773</v>
      </c>
      <c r="D22" s="145">
        <f>'36533-03 USD'!D212</f>
        <v>1236762.6770420293</v>
      </c>
      <c r="E22" s="145">
        <f>'36533-04 USD'!D237</f>
        <v>1887557.3352922658</v>
      </c>
      <c r="F22" s="146">
        <f t="shared" si="12"/>
        <v>6220842.2086986089</v>
      </c>
      <c r="G22" s="113"/>
      <c r="H22" s="113"/>
      <c r="I22" s="113"/>
      <c r="J22" s="113"/>
      <c r="K22" s="113"/>
      <c r="L22" s="113"/>
      <c r="M22" s="113"/>
      <c r="N22" s="113"/>
      <c r="O22" s="113"/>
    </row>
    <row r="23" spans="1:15" ht="24.95" customHeight="1" x14ac:dyDescent="0.25">
      <c r="A23" s="144" t="s">
        <v>15</v>
      </c>
      <c r="B23" s="145">
        <f>IF(B9="SI",'36533-00 USD'!D256,0)</f>
        <v>151507.47999999998</v>
      </c>
      <c r="C23" s="145">
        <f>IF(B9="SI",'36533-01 USD'!D260,0)</f>
        <v>30000</v>
      </c>
      <c r="D23" s="147"/>
      <c r="E23" s="147"/>
      <c r="F23" s="146">
        <f t="shared" si="12"/>
        <v>181507.47999999998</v>
      </c>
      <c r="G23" s="113"/>
      <c r="H23" s="113"/>
      <c r="I23" s="113"/>
      <c r="J23" s="113"/>
      <c r="K23" s="113"/>
      <c r="L23" s="113"/>
      <c r="M23" s="113"/>
      <c r="N23" s="113"/>
      <c r="O23" s="113"/>
    </row>
    <row r="24" spans="1:15" ht="24.95" customHeight="1" thickBot="1" x14ac:dyDescent="0.3">
      <c r="A24" s="148" t="s">
        <v>112</v>
      </c>
      <c r="B24" s="149">
        <f>SUM(B20:B23)</f>
        <v>34286280.817719363</v>
      </c>
      <c r="C24" s="149">
        <f t="shared" ref="C24:E24" si="13">SUM(C20:C23)</f>
        <v>46759713.800097607</v>
      </c>
      <c r="D24" s="149">
        <f t="shared" si="13"/>
        <v>36947342.668708697</v>
      </c>
      <c r="E24" s="149">
        <f t="shared" si="13"/>
        <v>48760929.679042265</v>
      </c>
      <c r="F24" s="150">
        <f t="shared" si="12"/>
        <v>166754266.96556795</v>
      </c>
      <c r="G24" s="113"/>
      <c r="H24" s="113"/>
      <c r="I24" s="113"/>
      <c r="J24" s="113"/>
      <c r="K24" s="113"/>
      <c r="L24" s="113"/>
      <c r="M24" s="113"/>
      <c r="N24" s="113"/>
      <c r="O24" s="113"/>
    </row>
    <row r="25" spans="1:15" ht="24.95" customHeight="1" thickBot="1" x14ac:dyDescent="0.3">
      <c r="A25" s="144" t="s">
        <v>106</v>
      </c>
      <c r="B25" s="149">
        <v>37856087.146672577</v>
      </c>
      <c r="C25" s="149">
        <v>50576216.340422645</v>
      </c>
      <c r="D25" s="149">
        <v>40792455.899048626</v>
      </c>
      <c r="E25" s="149">
        <v>52918413.00525783</v>
      </c>
      <c r="F25" s="151">
        <f t="shared" si="12"/>
        <v>182143172.39140168</v>
      </c>
      <c r="G25" s="113"/>
      <c r="H25" s="113"/>
      <c r="I25" s="113"/>
      <c r="J25" s="113"/>
      <c r="K25" s="113"/>
      <c r="L25" s="113"/>
      <c r="M25" s="113"/>
      <c r="N25" s="113"/>
      <c r="O25" s="113"/>
    </row>
    <row r="26" spans="1:15" ht="24.95" customHeight="1" thickBot="1" x14ac:dyDescent="0.3">
      <c r="A26" s="152" t="s">
        <v>107</v>
      </c>
      <c r="B26" s="149">
        <f>B24-B25</f>
        <v>-3569806.328953214</v>
      </c>
      <c r="C26" s="149">
        <f t="shared" ref="C26:E26" si="14">C24-C25</f>
        <v>-3816502.5403250381</v>
      </c>
      <c r="D26" s="149">
        <f t="shared" si="14"/>
        <v>-3845113.2303399295</v>
      </c>
      <c r="E26" s="149">
        <f t="shared" si="14"/>
        <v>-4157483.3262155652</v>
      </c>
      <c r="F26" s="150">
        <f>F24-F25</f>
        <v>-15388905.425833732</v>
      </c>
      <c r="G26" s="113"/>
      <c r="H26" s="113"/>
      <c r="I26" s="113"/>
      <c r="J26" s="113"/>
      <c r="K26" s="113"/>
      <c r="L26" s="113"/>
      <c r="M26" s="113"/>
      <c r="N26" s="113"/>
      <c r="O26" s="113"/>
    </row>
    <row r="27" spans="1:15" x14ac:dyDescent="0.25">
      <c r="A27" s="113"/>
      <c r="B27" s="113"/>
      <c r="C27" s="113"/>
      <c r="D27" s="113"/>
      <c r="E27" s="113"/>
      <c r="F27" s="153" t="str">
        <f>IF(F26&gt;0,"ULTRA PETITA",IF(F26=0,"IDEM PETITA","INFRA PETITA"))</f>
        <v>INFRA PETITA</v>
      </c>
      <c r="G27" s="113"/>
      <c r="H27" s="113"/>
      <c r="I27" s="113"/>
      <c r="J27" s="113"/>
      <c r="K27" s="113"/>
      <c r="L27" s="113"/>
      <c r="M27" s="113"/>
      <c r="N27" s="113"/>
      <c r="O27" s="113"/>
    </row>
    <row r="28" spans="1:15" x14ac:dyDescent="0.25">
      <c r="A28" s="113"/>
      <c r="B28" s="113"/>
      <c r="C28" s="113"/>
      <c r="D28" s="113"/>
      <c r="E28" s="113"/>
      <c r="F28" s="153"/>
      <c r="G28" s="113"/>
      <c r="H28" s="113"/>
      <c r="I28" s="113"/>
      <c r="J28" s="113"/>
      <c r="K28" s="113"/>
      <c r="L28" s="113"/>
      <c r="M28" s="113"/>
      <c r="N28" s="113"/>
      <c r="O28" s="113"/>
    </row>
    <row r="29" spans="1:15" x14ac:dyDescent="0.25">
      <c r="A29" s="113"/>
      <c r="B29" s="113"/>
      <c r="C29" s="113"/>
      <c r="D29" s="113"/>
      <c r="E29" s="113"/>
      <c r="F29" s="153"/>
      <c r="G29" s="113"/>
      <c r="H29" s="113"/>
      <c r="I29" s="113"/>
      <c r="J29" s="113"/>
      <c r="K29" s="113"/>
      <c r="L29" s="113"/>
      <c r="M29" s="113"/>
      <c r="N29" s="113"/>
      <c r="O29" s="113"/>
    </row>
    <row r="30" spans="1:15" x14ac:dyDescent="0.25">
      <c r="A30" s="163" t="s">
        <v>149</v>
      </c>
      <c r="B30" s="163"/>
      <c r="C30" s="163"/>
      <c r="D30" s="163"/>
      <c r="E30" s="163"/>
      <c r="F30" s="153"/>
      <c r="G30" s="113"/>
      <c r="H30" s="113"/>
      <c r="I30" s="113"/>
      <c r="J30" s="113"/>
      <c r="K30" s="113"/>
      <c r="L30" s="113"/>
      <c r="M30" s="113"/>
      <c r="N30" s="113"/>
      <c r="O30" s="113"/>
    </row>
    <row r="31" spans="1:15" x14ac:dyDescent="0.25">
      <c r="A31" s="154" t="s">
        <v>150</v>
      </c>
      <c r="B31" s="155">
        <f>'36533-00 USD'!H19+'36533-00 USD'!H48+'36533-00 USD'!H76+'36533-00 USD'!H106+'36533-00 USD'!H136+'36533-00 USD'!H168+'36533-00 USD'!H199+'36533-00 USD'!H232+'36533-00 USD'!H264</f>
        <v>5271718.5093693314</v>
      </c>
      <c r="C31" s="155">
        <f>'36533-01 USD'!H20+'36533-01 USD'!H49+'36533-01 USD'!H79+'36533-01 USD'!H110+'36533-01 USD'!H141+'36533-01 USD'!H172+'36533-01 USD'!H204+'36533-01 USD'!H237+'36533-01 USD'!H268</f>
        <v>7141467.390625</v>
      </c>
      <c r="D31" s="155">
        <f>'36533-03 USD'!H20+'36533-03 USD'!H45+'36533-03 USD'!H69+'36533-03 USD'!H94+'36533-03 USD'!H119+'36533-03 USD'!H144+'36533-03 USD'!H169+'36533-03 USD'!H197+'36533-03 USD'!H221</f>
        <v>5710579.9916666662</v>
      </c>
      <c r="E31" s="155">
        <f>'36533-04 USD'!H22+'36533-04 USD'!H49+'36533-04 USD'!H76+'36533-04 USD'!H103+'36533-04 USD'!H132+'36533-04 USD'!H160+'36533-04 USD'!H188+'36533-04 USD'!H218+'36533-04 USD'!H246</f>
        <v>7498372.34375</v>
      </c>
      <c r="F31" s="153"/>
      <c r="G31" s="113"/>
      <c r="H31" s="113"/>
      <c r="I31" s="113"/>
      <c r="J31" s="113"/>
      <c r="K31" s="113"/>
      <c r="L31" s="113"/>
      <c r="M31" s="113"/>
      <c r="N31" s="113"/>
      <c r="O31" s="113"/>
    </row>
    <row r="32" spans="1:15" x14ac:dyDescent="0.25">
      <c r="A32" s="154" t="s">
        <v>154</v>
      </c>
      <c r="B32" s="155">
        <f>'36533-00 USD'!H25+'36533-00 USD'!H55+'36533-00 USD'!H83+'36533-00 USD'!H113+'36533-00 USD'!H143+'36533-00 USD'!H175+'36533-00 USD'!H206+'36533-00 USD'!H239+'36533-00 USD'!H271</f>
        <v>544543.58826030628</v>
      </c>
      <c r="C32" s="155">
        <f>'36533-01 USD'!H25+'36533-01 USD'!H54+'36533-01 USD'!H84+'36533-01 USD'!H115+'36533-01 USD'!H146+'36533-01 USD'!H177+'36533-01 USD'!H209+'36533-01 USD'!H242+'36533-01 USD'!H273</f>
        <v>1037303.6996527778</v>
      </c>
      <c r="D32" s="155">
        <f>'36533-03 USD'!H25+'36533-03 USD'!H50+'36533-03 USD'!H74+'36533-03 USD'!H99+'36533-03 USD'!H124+'36533-03 USD'!H149+'36533-03 USD'!H174+'36533-03 USD'!H202+'36533-03 USD'!H226</f>
        <v>571463.85827337916</v>
      </c>
      <c r="E32" s="155">
        <f>'36533-04 USD'!H27+'36533-04 USD'!H28+'36533-04 USD'!H54+'36533-04 USD'!H81+'36533-04 USD'!H108+'36533-04 USD'!H137+'36533-04 USD'!H165+'36533-04 USD'!H193+'36533-04 USD'!H223+'36533-04 USD'!H251</f>
        <v>999198.32968750002</v>
      </c>
      <c r="F32" s="153"/>
      <c r="G32" s="113"/>
      <c r="H32" s="113"/>
      <c r="I32" s="113"/>
      <c r="J32" s="113"/>
      <c r="K32" s="113"/>
      <c r="L32" s="113"/>
      <c r="M32" s="113"/>
      <c r="N32" s="113"/>
      <c r="O32" s="113"/>
    </row>
    <row r="33" spans="1:15" x14ac:dyDescent="0.25">
      <c r="A33" s="154" t="s">
        <v>153</v>
      </c>
      <c r="B33" s="155">
        <f>'36533-00 USD'!H84+'36533-00 USD'!H114+'36533-00 USD'!H144+'36533-00 USD'!H176+'36533-00 USD'!H207+'36533-00 USD'!H240+'36533-00 USD'!H272</f>
        <v>10663.816509056947</v>
      </c>
      <c r="C33" s="155">
        <f>'36533-01 USD'!H87+'36533-01 USD'!H118+'36533-01 USD'!H149+'36533-01 USD'!H180+'36533-01 USD'!H212+'36533-01 USD'!H245+'36533-01 USD'!H276</f>
        <v>2830.5006513888884</v>
      </c>
      <c r="D33" s="155">
        <v>0</v>
      </c>
      <c r="E33" s="154">
        <v>0</v>
      </c>
      <c r="F33" s="153"/>
      <c r="G33" s="113"/>
      <c r="H33" s="113"/>
      <c r="I33" s="113"/>
      <c r="J33" s="113"/>
      <c r="K33" s="113"/>
      <c r="L33" s="113"/>
      <c r="M33" s="113"/>
      <c r="N33" s="113"/>
      <c r="O33" s="113"/>
    </row>
    <row r="34" spans="1:15" x14ac:dyDescent="0.25">
      <c r="A34" s="154" t="s">
        <v>151</v>
      </c>
      <c r="B34" s="155">
        <f>'36533-00 USD'!H24+'36533-00 USD'!H53+'36533-00 USD'!H54+'36533-00 USD'!H81+'36533-00 USD'!H82+'36533-00 USD'!H111+'36533-00 USD'!H112+'36533-00 USD'!H141+'36533-00 USD'!H142+'36533-00 USD'!H173+'36533-00 USD'!H174+'36533-00 USD'!H204+'36533-00 USD'!H205+'36533-00 USD'!H237+'36533-00 USD'!H238+'36533-00 USD'!H269+'36533-00 USD'!H270</f>
        <v>615539.52358067338</v>
      </c>
      <c r="C34" s="155">
        <f>'36533-01 USD'!H26+'36533-01 USD'!H55+'36533-01 USD'!H56+'36533-01 USD'!H85+'36533-01 USD'!H86+'36533-01 USD'!H116+'36533-01 USD'!H117+'36533-01 USD'!H147+'36533-01 USD'!H148+'36533-01 USD'!H178+'36533-01 USD'!H179+'36533-01 USD'!H210+'36533-01 USD'!H211+'36533-01 USD'!H243+'36533-01 USD'!H244+'36533-01 USD'!H274+'36533-01 USD'!H275</f>
        <v>885188.90008399962</v>
      </c>
      <c r="D34" s="155">
        <f>'36533-03 USD'!H26+'36533-03 USD'!H27+'36533-03 USD'!H51+'36533-03 USD'!H75+'36533-03 USD'!H76+'36533-03 USD'!H100+'36533-03 USD'!H101+'36533-03 USD'!H125+'36533-03 USD'!H126+'36533-03 USD'!H150+'36533-03 USD'!H151+'36533-03 USD'!H175+'36533-03 USD'!H176+'36533-03 USD'!H203+'36533-03 USD'!H204+'36533-03 USD'!H227+'36533-03 USD'!H228</f>
        <v>665298.81876865029</v>
      </c>
      <c r="E34" s="155">
        <f>'36533-04 USD'!H29+'36533-04 USD'!H30+'36533-04 USD'!H55+'36533-04 USD'!H56+'36533-04 USD'!H82+'36533-04 USD'!H83+'36533-04 USD'!H109+'36533-04 USD'!H110+'36533-04 USD'!H138+'36533-04 USD'!H139+'36533-04 USD'!H166+'36533-04 USD'!H167+'36533-04 USD'!H194+'36533-04 USD'!H195+'36533-04 USD'!H224+'36533-04 USD'!H225+'36533-04 USD'!H252+'36533-04 USD'!H253</f>
        <v>888359.00560476549</v>
      </c>
      <c r="F34" s="153"/>
      <c r="G34" s="113"/>
      <c r="H34" s="113"/>
      <c r="I34" s="113"/>
      <c r="J34" s="113"/>
      <c r="K34" s="113"/>
      <c r="L34" s="113"/>
      <c r="M34" s="113"/>
      <c r="N34" s="113"/>
      <c r="O34" s="113"/>
    </row>
    <row r="35" spans="1:15" x14ac:dyDescent="0.25">
      <c r="A35" s="156" t="s">
        <v>155</v>
      </c>
      <c r="B35" s="157">
        <f>SUM(B31:B34)</f>
        <v>6442465.4377193674</v>
      </c>
      <c r="C35" s="157">
        <f>SUM(C31:C34)</f>
        <v>9066790.4910131656</v>
      </c>
      <c r="D35" s="157">
        <f>SUM(D31:D34)</f>
        <v>6947342.668708696</v>
      </c>
      <c r="E35" s="157">
        <f>SUM(E31:E34)</f>
        <v>9385929.6790422667</v>
      </c>
      <c r="F35" s="153"/>
      <c r="G35" s="113"/>
      <c r="H35" s="113"/>
      <c r="I35" s="113"/>
      <c r="J35" s="113"/>
      <c r="K35" s="113"/>
      <c r="L35" s="113"/>
      <c r="M35" s="113"/>
      <c r="N35" s="113"/>
      <c r="O35" s="113"/>
    </row>
    <row r="36" spans="1:15" x14ac:dyDescent="0.25">
      <c r="A36" s="113"/>
      <c r="B36" s="158" t="str">
        <f>IF(B35-SUM(B21:B22)&lt;=0.05,"OK","REVISAR")</f>
        <v>OK</v>
      </c>
      <c r="C36" s="158" t="str">
        <f>IF(C35-SUM(C21:C22)&lt;=0.05,"OK","REVISAR")</f>
        <v>OK</v>
      </c>
      <c r="D36" s="158" t="str">
        <f>IF(D35-SUM(D21:D22)&lt;=0.05,"OK","REVISAR")</f>
        <v>OK</v>
      </c>
      <c r="E36" s="158" t="str">
        <f>IF(E35-SUM(E21:E22)&lt;=0.05,"OK","REVISAR")</f>
        <v>OK</v>
      </c>
      <c r="F36" s="153"/>
      <c r="G36" s="113"/>
      <c r="H36" s="113"/>
      <c r="I36" s="113"/>
      <c r="J36" s="113"/>
      <c r="K36" s="113"/>
      <c r="L36" s="113"/>
      <c r="M36" s="113"/>
      <c r="N36" s="113"/>
      <c r="O36" s="113"/>
    </row>
    <row r="37" spans="1:15" x14ac:dyDescent="0.25">
      <c r="A37" s="113"/>
      <c r="B37" s="113"/>
      <c r="C37" s="159"/>
      <c r="D37" s="113"/>
      <c r="E37" s="113"/>
      <c r="F37" s="153"/>
      <c r="G37" s="113"/>
      <c r="H37" s="113"/>
      <c r="I37" s="113"/>
      <c r="J37" s="113"/>
      <c r="K37" s="113"/>
      <c r="L37" s="113"/>
      <c r="M37" s="113"/>
      <c r="N37" s="113"/>
      <c r="O37" s="113"/>
    </row>
    <row r="38" spans="1:15" x14ac:dyDescent="0.25">
      <c r="A38" s="113"/>
      <c r="B38" s="113"/>
      <c r="C38" s="113"/>
      <c r="D38" s="113"/>
      <c r="E38" s="113"/>
      <c r="F38" s="153"/>
      <c r="G38" s="113"/>
      <c r="H38" s="113"/>
      <c r="I38" s="113"/>
      <c r="J38" s="113"/>
      <c r="K38" s="113"/>
      <c r="L38" s="113"/>
      <c r="M38" s="113"/>
      <c r="N38" s="113"/>
      <c r="O38" s="113"/>
    </row>
    <row r="39" spans="1:15" x14ac:dyDescent="0.25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</row>
    <row r="40" spans="1:15" ht="20.100000000000001" customHeight="1" x14ac:dyDescent="0.25">
      <c r="A40" s="134" t="s">
        <v>146</v>
      </c>
      <c r="B40" s="160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</row>
    <row r="41" spans="1:15" ht="20.100000000000001" customHeight="1" x14ac:dyDescent="0.25">
      <c r="A41" s="147" t="s">
        <v>145</v>
      </c>
      <c r="B41" s="145">
        <f>F20</f>
        <v>134567307.90000001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</row>
    <row r="42" spans="1:15" ht="20.100000000000001" customHeight="1" x14ac:dyDescent="0.25">
      <c r="A42" s="147" t="s">
        <v>143</v>
      </c>
      <c r="B42" s="145">
        <f>F21+F22</f>
        <v>32005451.58556794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</row>
    <row r="43" spans="1:15" ht="20.100000000000001" customHeight="1" x14ac:dyDescent="0.25">
      <c r="A43" s="147" t="s">
        <v>144</v>
      </c>
      <c r="B43" s="147">
        <f>IF(B3=365,D12-C4,DAYS360(C4,D12))</f>
        <v>1267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</row>
    <row r="44" spans="1:15" ht="20.100000000000001" customHeight="1" x14ac:dyDescent="0.25">
      <c r="A44" s="134" t="str">
        <f>IF(B44&gt;B12%,"SUPERA LIMITE JUDICIAL","NO SUPERA LÍMITE JUDICIAL")</f>
        <v>SUPERA LIMITE JUDICIAL</v>
      </c>
      <c r="B44" s="161">
        <f>B42/B41/B43*B4</f>
        <v>6.7578769704605968E-2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</row>
    <row r="45" spans="1:15" x14ac:dyDescent="0.2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</row>
    <row r="46" spans="1:15" x14ac:dyDescent="0.25">
      <c r="A46" s="162" t="s">
        <v>147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</row>
    <row r="47" spans="1:15" x14ac:dyDescent="0.25">
      <c r="A47" s="162" t="s">
        <v>148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</row>
    <row r="48" spans="1:15" x14ac:dyDescent="0.2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</row>
    <row r="49" spans="1:15" x14ac:dyDescent="0.2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</row>
  </sheetData>
  <mergeCells count="4">
    <mergeCell ref="A30:E30"/>
    <mergeCell ref="A15:A16"/>
    <mergeCell ref="A14:F14"/>
    <mergeCell ref="C2:D3"/>
  </mergeCells>
  <phoneticPr fontId="21" type="noConversion"/>
  <conditionalFormatting sqref="G4:G12">
    <cfRule type="cellIs" dxfId="16" priority="18" operator="greaterThan">
      <formula>8</formula>
    </cfRule>
  </conditionalFormatting>
  <conditionalFormatting sqref="I4:J12">
    <cfRule type="cellIs" dxfId="15" priority="13" operator="greaterThan">
      <formula>$B$12</formula>
    </cfRule>
  </conditionalFormatting>
  <conditionalFormatting sqref="M4:M12">
    <cfRule type="cellIs" dxfId="14" priority="12" operator="greaterThan">
      <formula>8</formula>
    </cfRule>
  </conditionalFormatting>
  <conditionalFormatting sqref="F4:F12">
    <cfRule type="cellIs" dxfId="13" priority="8" operator="greaterThan">
      <formula>4</formula>
    </cfRule>
  </conditionalFormatting>
  <conditionalFormatting sqref="L4:L12">
    <cfRule type="cellIs" dxfId="12" priority="7" operator="greaterThan">
      <formula>4</formula>
    </cfRule>
  </conditionalFormatting>
  <conditionalFormatting sqref="O4:O12">
    <cfRule type="cellIs" dxfId="11" priority="6" operator="greaterThan">
      <formula>$B$12</formula>
    </cfRule>
  </conditionalFormatting>
  <conditionalFormatting sqref="B44">
    <cfRule type="cellIs" dxfId="10" priority="2" operator="greaterThan">
      <formula>$B$12%</formula>
    </cfRule>
    <cfRule type="cellIs" dxfId="9" priority="3" operator="greaterThan">
      <formula>$B$12</formula>
    </cfRule>
    <cfRule type="cellIs" dxfId="8" priority="4" operator="greaterThan">
      <formula>$B$12</formula>
    </cfRule>
  </conditionalFormatting>
  <conditionalFormatting sqref="P4:P12">
    <cfRule type="cellIs" dxfId="7" priority="1" operator="greaterThan">
      <formula>$B$12</formula>
    </cfRule>
  </conditionalFormatting>
  <dataValidations count="6">
    <dataValidation type="list" allowBlank="1" showInputMessage="1" showErrorMessage="1" sqref="B3:B4">
      <formula1>"360,365"</formula1>
    </dataValidation>
    <dataValidation type="list" allowBlank="1" showInputMessage="1" showErrorMessage="1" sqref="B6">
      <formula1>"Inicial s/fuente,Final s/fuente,Promedio,Solicitada,Menor"</formula1>
    </dataValidation>
    <dataValidation type="list" allowBlank="1" showInputMessage="1" showErrorMessage="1" sqref="B8">
      <formula1>"01/03/2022,15/03/2022,02/09/2021,15/09/2022"</formula1>
    </dataValidation>
    <dataValidation type="decimal" allowBlank="1" showInputMessage="1" showErrorMessage="1" sqref="B7 B5">
      <formula1>0</formula1>
      <formula2>10</formula2>
    </dataValidation>
    <dataValidation type="list" allowBlank="1" showInputMessage="1" showErrorMessage="1" sqref="B9:B11">
      <formula1>"SI,NO"</formula1>
    </dataValidation>
    <dataValidation type="decimal" allowBlank="1" showInputMessage="1" showErrorMessage="1" sqref="B12">
      <formula1>0</formula1>
      <formula2>12</formula2>
    </dataValidation>
  </dataValidations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80"/>
  <sheetViews>
    <sheetView topLeftCell="A10" workbookViewId="0">
      <selection activeCell="D17" sqref="D17"/>
    </sheetView>
  </sheetViews>
  <sheetFormatPr baseColWidth="10" defaultColWidth="20.5703125" defaultRowHeight="12.75" x14ac:dyDescent="0.2"/>
  <cols>
    <col min="1" max="1" width="27.140625" style="3" customWidth="1"/>
    <col min="2" max="6" width="20.5703125" style="3" customWidth="1"/>
    <col min="7" max="7" width="14.28515625" style="27" customWidth="1"/>
    <col min="8" max="11" width="20.5703125" style="46" customWidth="1"/>
    <col min="12" max="14" width="20.5703125" style="27"/>
    <col min="15" max="16384" width="20.5703125" style="3"/>
  </cols>
  <sheetData>
    <row r="2" spans="1:14" x14ac:dyDescent="0.2">
      <c r="H2" s="173" t="s">
        <v>156</v>
      </c>
      <c r="I2" s="173"/>
    </row>
    <row r="3" spans="1:14" ht="20.100000000000001" customHeight="1" x14ac:dyDescent="0.2">
      <c r="H3" s="108" t="s">
        <v>7</v>
      </c>
      <c r="I3" s="30">
        <f>'Variables y Resumen'!$B$17</f>
        <v>5.5</v>
      </c>
      <c r="J3" s="94"/>
      <c r="K3" s="94"/>
    </row>
    <row r="4" spans="1:14" ht="20.100000000000001" customHeight="1" x14ac:dyDescent="0.2">
      <c r="H4" s="108" t="s">
        <v>157</v>
      </c>
      <c r="I4" s="30">
        <v>2</v>
      </c>
    </row>
    <row r="5" spans="1:14" ht="20.100000000000001" customHeight="1" x14ac:dyDescent="0.2">
      <c r="A5" s="34">
        <v>43174</v>
      </c>
      <c r="B5" s="34">
        <v>43360</v>
      </c>
      <c r="C5" s="5"/>
      <c r="D5" s="5"/>
      <c r="E5" s="5"/>
      <c r="F5" s="5"/>
      <c r="G5" s="28"/>
      <c r="H5" s="45"/>
      <c r="I5" s="45"/>
      <c r="J5" s="45"/>
      <c r="K5" s="45"/>
      <c r="L5" s="28"/>
      <c r="M5" s="28"/>
      <c r="N5" s="28"/>
    </row>
    <row r="6" spans="1:14" ht="20.100000000000001" customHeight="1" x14ac:dyDescent="0.2">
      <c r="A6" s="176" t="s">
        <v>34</v>
      </c>
      <c r="B6" s="175"/>
      <c r="C6" s="175"/>
      <c r="D6" s="175"/>
      <c r="E6" s="175"/>
      <c r="F6" s="175"/>
    </row>
    <row r="7" spans="1:14" ht="24.95" customHeight="1" x14ac:dyDescent="0.2">
      <c r="A7" s="7" t="s">
        <v>23</v>
      </c>
      <c r="B7" s="7" t="s">
        <v>16</v>
      </c>
      <c r="C7" s="7" t="s">
        <v>17</v>
      </c>
      <c r="D7" s="7" t="s">
        <v>19</v>
      </c>
      <c r="E7" s="7" t="s">
        <v>63</v>
      </c>
      <c r="F7" s="7" t="s">
        <v>1</v>
      </c>
    </row>
    <row r="8" spans="1:14" ht="20.100000000000001" customHeight="1" x14ac:dyDescent="0.2">
      <c r="A8" s="8" t="s">
        <v>36</v>
      </c>
      <c r="B8" s="9">
        <v>0</v>
      </c>
      <c r="C8" s="9">
        <v>0</v>
      </c>
      <c r="D8" s="48">
        <f>B31</f>
        <v>0</v>
      </c>
      <c r="E8" s="9">
        <v>0</v>
      </c>
      <c r="F8" s="9">
        <f>SUM(B8:C8:D8:E8)</f>
        <v>0</v>
      </c>
    </row>
    <row r="9" spans="1:14" ht="20.100000000000001" customHeight="1" x14ac:dyDescent="0.2">
      <c r="A9" s="8" t="s">
        <v>110</v>
      </c>
      <c r="B9" s="9">
        <v>2307692.1</v>
      </c>
      <c r="C9" s="9">
        <f>H19</f>
        <v>924154.25368567707</v>
      </c>
      <c r="D9" s="48">
        <f>C31</f>
        <v>0</v>
      </c>
      <c r="E9" s="9">
        <f>H26</f>
        <v>192.24277456597221</v>
      </c>
      <c r="F9" s="9">
        <f>SUM(B9:E9)</f>
        <v>3232038.5964602432</v>
      </c>
    </row>
    <row r="10" spans="1:14" ht="20.100000000000001" customHeight="1" x14ac:dyDescent="0.2">
      <c r="A10" s="8" t="s">
        <v>38</v>
      </c>
      <c r="B10" s="13">
        <f>SUM(B8:B9)</f>
        <v>2307692.1</v>
      </c>
      <c r="C10" s="13">
        <f>SUM(C8:C9)</f>
        <v>924154.25368567707</v>
      </c>
      <c r="D10" s="13">
        <f>SUM(D8:D9)</f>
        <v>0</v>
      </c>
      <c r="E10" s="13">
        <f>SUM(E8:E9)</f>
        <v>192.24277456597221</v>
      </c>
      <c r="F10" s="13">
        <f>SUM(F8:F9)</f>
        <v>3232038.5964602432</v>
      </c>
    </row>
    <row r="11" spans="1:14" ht="20.100000000000001" customHeight="1" x14ac:dyDescent="0.2"/>
    <row r="12" spans="1:14" ht="20.100000000000001" customHeight="1" x14ac:dyDescent="0.2"/>
    <row r="13" spans="1:14" ht="20.100000000000001" customHeight="1" x14ac:dyDescent="0.2"/>
    <row r="14" spans="1:14" ht="20.100000000000001" customHeight="1" x14ac:dyDescent="0.2">
      <c r="A14" s="174" t="s">
        <v>24</v>
      </c>
      <c r="B14" s="175"/>
      <c r="C14" s="175"/>
    </row>
    <row r="15" spans="1:14" ht="24.95" customHeight="1" x14ac:dyDescent="0.2">
      <c r="A15" s="7" t="s">
        <v>23</v>
      </c>
      <c r="B15" s="7" t="s">
        <v>27</v>
      </c>
      <c r="C15" s="7" t="s">
        <v>26</v>
      </c>
      <c r="D15" s="7" t="s">
        <v>25</v>
      </c>
      <c r="E15" s="7" t="s">
        <v>21</v>
      </c>
      <c r="F15" s="7" t="s">
        <v>22</v>
      </c>
      <c r="G15" s="7" t="str">
        <f>"Días ("&amp;'Variables y Resumen'!B3&amp;")"</f>
        <v>Días (365)</v>
      </c>
      <c r="H15" s="7" t="str">
        <f>"Monto ("&amp;'Variables y Resumen'!$B$4&amp;")"</f>
        <v>Monto (360)</v>
      </c>
      <c r="I15" s="177" t="s">
        <v>139</v>
      </c>
      <c r="J15" s="177"/>
      <c r="K15" s="177"/>
      <c r="L15" s="177"/>
      <c r="M15" s="177"/>
      <c r="N15" s="177"/>
    </row>
    <row r="16" spans="1:14" ht="42.75" customHeight="1" x14ac:dyDescent="0.2">
      <c r="A16" s="8" t="s">
        <v>17</v>
      </c>
      <c r="B16" s="8"/>
      <c r="C16" s="8"/>
      <c r="D16" s="7"/>
      <c r="E16" s="8"/>
      <c r="F16" s="8"/>
      <c r="G16" s="7"/>
      <c r="H16" s="47"/>
      <c r="I16" s="7" t="s">
        <v>141</v>
      </c>
      <c r="J16" s="7" t="s">
        <v>142</v>
      </c>
      <c r="K16" s="7" t="s">
        <v>135</v>
      </c>
      <c r="L16" s="35" t="s">
        <v>136</v>
      </c>
      <c r="M16" s="35" t="s">
        <v>134</v>
      </c>
      <c r="N16" s="36" t="s">
        <v>137</v>
      </c>
    </row>
    <row r="17" spans="1:14" ht="20.100000000000001" customHeight="1" x14ac:dyDescent="0.2">
      <c r="A17" s="10" t="s">
        <v>13</v>
      </c>
      <c r="B17" s="10" t="s">
        <v>8</v>
      </c>
      <c r="C17" s="9">
        <v>30000000</v>
      </c>
      <c r="D17" s="73">
        <f>MIN('Variables y Resumen'!$B$12,MIN('Variables y Resumen'!$B$5,$I$3)+N17 )</f>
        <v>6.4562499999999998</v>
      </c>
      <c r="E17" s="39">
        <v>43174</v>
      </c>
      <c r="F17" s="39">
        <v>43175</v>
      </c>
      <c r="G17" s="41">
        <f>IF('Variables y Resumen'!$B$3=360,DAYS360(E17,F17),F17-E17)</f>
        <v>1</v>
      </c>
      <c r="H17" s="48">
        <f>C17*D17%/MID($H$15,8,3)*G17</f>
        <v>5380.208333333333</v>
      </c>
      <c r="I17" s="96">
        <f>VLOOKUP(A5,Tabla_Libor,8,0)</f>
        <v>2.3417500000000002</v>
      </c>
      <c r="J17" s="95">
        <f>VLOOKUP(B5,Tabla_Libor,8,0)</f>
        <v>2.5707499999999999</v>
      </c>
      <c r="K17" s="38">
        <f>(I17+J17)/2</f>
        <v>2.4562499999999998</v>
      </c>
      <c r="L17" s="51">
        <v>2.3049999999999997</v>
      </c>
      <c r="M17" s="51">
        <f>MIN(I17:L17)</f>
        <v>2.3049999999999997</v>
      </c>
      <c r="N17" s="37">
        <f>HLOOKUP(Selección_Libor,I16:M17,2,0)</f>
        <v>2.4562499999999998</v>
      </c>
    </row>
    <row r="18" spans="1:14" ht="20.100000000000001" customHeight="1" x14ac:dyDescent="0.2">
      <c r="A18" s="10" t="s">
        <v>13</v>
      </c>
      <c r="B18" s="10" t="s">
        <v>8</v>
      </c>
      <c r="C18" s="9">
        <v>27692307.899999999</v>
      </c>
      <c r="D18" s="73">
        <f>D17</f>
        <v>6.4562499999999998</v>
      </c>
      <c r="E18" s="39">
        <f>F17</f>
        <v>43175</v>
      </c>
      <c r="F18" s="39">
        <v>43360</v>
      </c>
      <c r="G18" s="41">
        <f>IF('Variables y Resumen'!$B$3=360,DAYS360(E18,F18),F18-E18)</f>
        <v>185</v>
      </c>
      <c r="H18" s="48">
        <f>C18*D18%/MID($H$15,8,3)*G18</f>
        <v>918774.0453523437</v>
      </c>
      <c r="I18" s="90"/>
      <c r="J18" s="90"/>
      <c r="K18" s="90"/>
    </row>
    <row r="19" spans="1:14" ht="20.100000000000001" customHeight="1" x14ac:dyDescent="0.2">
      <c r="A19" s="8" t="s">
        <v>1</v>
      </c>
      <c r="B19" s="8" t="s">
        <v>2</v>
      </c>
      <c r="C19" s="13"/>
      <c r="D19" s="7" t="s">
        <v>2</v>
      </c>
      <c r="E19" s="8" t="s">
        <v>2</v>
      </c>
      <c r="F19" s="8" t="s">
        <v>2</v>
      </c>
      <c r="G19" s="7" t="s">
        <v>2</v>
      </c>
      <c r="H19" s="49">
        <f>SUM(H17:H18)</f>
        <v>924154.25368567707</v>
      </c>
      <c r="I19" s="91"/>
      <c r="J19" s="91"/>
      <c r="K19" s="91"/>
    </row>
    <row r="20" spans="1:14" ht="20.100000000000001" customHeight="1" x14ac:dyDescent="0.2">
      <c r="D20" s="27"/>
    </row>
    <row r="21" spans="1:14" ht="20.100000000000001" customHeight="1" x14ac:dyDescent="0.2">
      <c r="D21" s="27"/>
    </row>
    <row r="22" spans="1:14" ht="24.95" customHeight="1" x14ac:dyDescent="0.2">
      <c r="A22" s="7" t="s">
        <v>23</v>
      </c>
      <c r="B22" s="7" t="s">
        <v>27</v>
      </c>
      <c r="C22" s="7" t="s">
        <v>26</v>
      </c>
      <c r="D22" s="7" t="s">
        <v>25</v>
      </c>
      <c r="E22" s="7" t="s">
        <v>21</v>
      </c>
      <c r="F22" s="7" t="s">
        <v>22</v>
      </c>
      <c r="G22" s="7" t="str">
        <f>G15</f>
        <v>Días (365)</v>
      </c>
      <c r="H22" s="7" t="str">
        <f>H15</f>
        <v>Monto (360)</v>
      </c>
      <c r="I22" s="92"/>
      <c r="J22" s="92"/>
      <c r="K22" s="92"/>
    </row>
    <row r="23" spans="1:14" ht="20.100000000000001" customHeight="1" x14ac:dyDescent="0.2">
      <c r="A23" s="8" t="s">
        <v>20</v>
      </c>
      <c r="B23" s="8"/>
      <c r="C23" s="8"/>
      <c r="D23" s="7"/>
      <c r="E23" s="8"/>
      <c r="F23" s="8"/>
      <c r="G23" s="7"/>
      <c r="H23" s="47"/>
      <c r="I23" s="93"/>
      <c r="J23" s="93"/>
      <c r="K23" s="93"/>
    </row>
    <row r="24" spans="1:14" ht="20.100000000000001" customHeight="1" x14ac:dyDescent="0.2">
      <c r="A24" s="10" t="s">
        <v>30</v>
      </c>
      <c r="B24" s="10" t="s">
        <v>28</v>
      </c>
      <c r="C24" s="9">
        <v>1049196.67</v>
      </c>
      <c r="D24" s="73">
        <f>MIN(D18+'Variables y Resumen'!$B$7,'Variables y Resumen'!$B$12)</f>
        <v>6.5</v>
      </c>
      <c r="E24" s="12">
        <v>43174</v>
      </c>
      <c r="F24" s="12">
        <v>43175</v>
      </c>
      <c r="G24" s="41">
        <f>IF('Variables y Resumen'!$B$3=360,DAYS360(E24,F24),F24-E24)</f>
        <v>1</v>
      </c>
      <c r="H24" s="48">
        <f>IF('Variables y Resumen'!$B$11="SI",C24*D24%/MID($H$15,8,3)*G24,0)</f>
        <v>189.43828763888888</v>
      </c>
      <c r="I24" s="90"/>
      <c r="J24" s="90"/>
      <c r="K24" s="90"/>
    </row>
    <row r="25" spans="1:14" ht="20.100000000000001" customHeight="1" x14ac:dyDescent="0.2">
      <c r="A25" s="10" t="s">
        <v>29</v>
      </c>
      <c r="B25" s="10" t="s">
        <v>28</v>
      </c>
      <c r="C25" s="9">
        <v>2307692.1</v>
      </c>
      <c r="D25" s="73">
        <f>MIN('Variables y Resumen'!$B$7,'Variables y Resumen'!$B$12-D17)</f>
        <v>4.3750000000000178E-2</v>
      </c>
      <c r="E25" s="12">
        <v>43174</v>
      </c>
      <c r="F25" s="12">
        <v>43175</v>
      </c>
      <c r="G25" s="41">
        <f>IF('Variables y Resumen'!$B$3=360,DAYS360(E25,F25),F25-E25)</f>
        <v>1</v>
      </c>
      <c r="H25" s="48">
        <f t="shared" ref="H25" si="0">C25*D25%/MID($H$15,8,3)*G25</f>
        <v>2.804486927083345</v>
      </c>
      <c r="I25" s="90"/>
      <c r="J25" s="90"/>
      <c r="K25" s="90"/>
    </row>
    <row r="26" spans="1:14" ht="20.100000000000001" customHeight="1" x14ac:dyDescent="0.2">
      <c r="A26" s="8" t="s">
        <v>1</v>
      </c>
      <c r="B26" s="8" t="s">
        <v>2</v>
      </c>
      <c r="C26" s="8" t="s">
        <v>2</v>
      </c>
      <c r="D26" s="8" t="s">
        <v>2</v>
      </c>
      <c r="E26" s="8" t="s">
        <v>2</v>
      </c>
      <c r="F26" s="8" t="s">
        <v>2</v>
      </c>
      <c r="G26" s="7" t="s">
        <v>2</v>
      </c>
      <c r="H26" s="49">
        <f>SUM(H24:H25)</f>
        <v>192.24277456597221</v>
      </c>
      <c r="I26" s="91"/>
      <c r="J26" s="91"/>
      <c r="K26" s="91"/>
    </row>
    <row r="27" spans="1:14" ht="20.100000000000001" customHeight="1" x14ac:dyDescent="0.2"/>
    <row r="28" spans="1:14" ht="20.100000000000001" customHeight="1" x14ac:dyDescent="0.2"/>
    <row r="29" spans="1:14" ht="20.100000000000001" customHeight="1" x14ac:dyDescent="0.2">
      <c r="A29" s="174" t="s">
        <v>33</v>
      </c>
      <c r="B29" s="175"/>
      <c r="C29" s="175"/>
    </row>
    <row r="30" spans="1:14" ht="20.100000000000001" customHeight="1" x14ac:dyDescent="0.2">
      <c r="A30" s="7" t="s">
        <v>23</v>
      </c>
      <c r="B30" s="7" t="s">
        <v>36</v>
      </c>
      <c r="C30" s="7" t="s">
        <v>110</v>
      </c>
      <c r="D30" s="7" t="s">
        <v>38</v>
      </c>
    </row>
    <row r="31" spans="1:14" ht="20.100000000000001" customHeight="1" x14ac:dyDescent="0.2">
      <c r="A31" s="10" t="s">
        <v>32</v>
      </c>
      <c r="B31" s="9">
        <v>0</v>
      </c>
      <c r="C31" s="38">
        <f>IF('Variables y Resumen'!$B$9="SI",0,0)</f>
        <v>0</v>
      </c>
      <c r="D31" s="9">
        <f>SUM(B31:C31)</f>
        <v>0</v>
      </c>
    </row>
    <row r="32" spans="1:14" ht="20.100000000000001" customHeight="1" x14ac:dyDescent="0.2">
      <c r="A32" s="14" t="s">
        <v>0</v>
      </c>
    </row>
    <row r="33" spans="1:14" ht="20.100000000000001" customHeight="1" x14ac:dyDescent="0.2">
      <c r="A33" s="15"/>
    </row>
    <row r="34" spans="1:14" ht="20.100000000000001" customHeight="1" x14ac:dyDescent="0.2">
      <c r="A34" s="15"/>
    </row>
    <row r="35" spans="1:14" ht="20.100000000000001" customHeight="1" x14ac:dyDescent="0.2">
      <c r="A35" s="34">
        <f>B5</f>
        <v>43360</v>
      </c>
      <c r="B35" s="34">
        <v>43539</v>
      </c>
      <c r="C35" s="5"/>
      <c r="D35" s="5"/>
      <c r="E35" s="5"/>
      <c r="F35" s="5"/>
      <c r="G35" s="28"/>
      <c r="H35" s="45"/>
      <c r="I35" s="45"/>
      <c r="J35" s="45"/>
      <c r="K35" s="45"/>
    </row>
    <row r="36" spans="1:14" ht="20.100000000000001" customHeight="1" x14ac:dyDescent="0.2">
      <c r="A36" s="176" t="s">
        <v>34</v>
      </c>
      <c r="B36" s="175"/>
      <c r="C36" s="175"/>
      <c r="D36" s="175"/>
      <c r="E36" s="175"/>
      <c r="F36" s="175"/>
    </row>
    <row r="37" spans="1:14" ht="20.100000000000001" customHeight="1" x14ac:dyDescent="0.2">
      <c r="A37" s="7" t="s">
        <v>23</v>
      </c>
      <c r="B37" s="7" t="s">
        <v>16</v>
      </c>
      <c r="C37" s="7" t="s">
        <v>17</v>
      </c>
      <c r="D37" s="7" t="s">
        <v>19</v>
      </c>
      <c r="E37" s="7" t="s">
        <v>63</v>
      </c>
      <c r="F37" s="7" t="s">
        <v>1</v>
      </c>
    </row>
    <row r="38" spans="1:14" ht="20.100000000000001" customHeight="1" x14ac:dyDescent="0.2">
      <c r="A38" s="8" t="s">
        <v>36</v>
      </c>
      <c r="B38" s="9">
        <f>B10</f>
        <v>2307692.1</v>
      </c>
      <c r="C38" s="9">
        <f>C10</f>
        <v>924154.25368567707</v>
      </c>
      <c r="D38" s="48">
        <f>D31</f>
        <v>0</v>
      </c>
      <c r="E38" s="9">
        <f>E10</f>
        <v>192.24277456597221</v>
      </c>
      <c r="F38" s="9">
        <f>SUM(B38:C38:D38:E38)</f>
        <v>3232038.5964602432</v>
      </c>
    </row>
    <row r="39" spans="1:14" ht="20.100000000000001" customHeight="1" x14ac:dyDescent="0.2">
      <c r="A39" s="8" t="s">
        <v>110</v>
      </c>
      <c r="B39" s="9">
        <v>2307692.1</v>
      </c>
      <c r="C39" s="9">
        <f>H48</f>
        <v>895000.00671250001</v>
      </c>
      <c r="D39" s="48">
        <f>C61</f>
        <v>0</v>
      </c>
      <c r="E39" s="9">
        <f>H56</f>
        <v>29874.365239763691</v>
      </c>
      <c r="F39" s="9">
        <f>SUM(B39:E39)</f>
        <v>3232566.4719522637</v>
      </c>
    </row>
    <row r="40" spans="1:14" ht="20.100000000000001" customHeight="1" x14ac:dyDescent="0.2">
      <c r="A40" s="8" t="s">
        <v>38</v>
      </c>
      <c r="B40" s="13">
        <f>SUM(B38:B39)</f>
        <v>4615384.2</v>
      </c>
      <c r="C40" s="13">
        <f>SUM(C38:C39)</f>
        <v>1819154.260398177</v>
      </c>
      <c r="D40" s="13">
        <f>SUM(D38:D39)</f>
        <v>0</v>
      </c>
      <c r="E40" s="13">
        <f>SUM(E38:E39)</f>
        <v>30066.608014329664</v>
      </c>
      <c r="F40" s="13">
        <f>SUM(F38:F39)</f>
        <v>6464605.068412507</v>
      </c>
    </row>
    <row r="41" spans="1:14" ht="20.100000000000001" customHeight="1" x14ac:dyDescent="0.2"/>
    <row r="42" spans="1:14" ht="20.100000000000001" customHeight="1" x14ac:dyDescent="0.2"/>
    <row r="43" spans="1:14" ht="20.100000000000001" customHeight="1" x14ac:dyDescent="0.2"/>
    <row r="44" spans="1:14" ht="20.100000000000001" customHeight="1" x14ac:dyDescent="0.2">
      <c r="A44" s="174" t="s">
        <v>24</v>
      </c>
      <c r="B44" s="175"/>
      <c r="C44" s="175"/>
    </row>
    <row r="45" spans="1:14" ht="24.95" customHeight="1" x14ac:dyDescent="0.2">
      <c r="A45" s="7" t="s">
        <v>23</v>
      </c>
      <c r="B45" s="7" t="s">
        <v>27</v>
      </c>
      <c r="C45" s="7" t="s">
        <v>26</v>
      </c>
      <c r="D45" s="7" t="s">
        <v>25</v>
      </c>
      <c r="E45" s="7" t="s">
        <v>21</v>
      </c>
      <c r="F45" s="7" t="s">
        <v>22</v>
      </c>
      <c r="G45" s="7" t="str">
        <f>G15</f>
        <v>Días (365)</v>
      </c>
      <c r="H45" s="7" t="str">
        <f>H15</f>
        <v>Monto (360)</v>
      </c>
      <c r="I45" s="177" t="s">
        <v>139</v>
      </c>
      <c r="J45" s="177"/>
      <c r="K45" s="177"/>
      <c r="L45" s="177"/>
      <c r="M45" s="177"/>
      <c r="N45" s="177"/>
    </row>
    <row r="46" spans="1:14" ht="20.100000000000001" customHeight="1" x14ac:dyDescent="0.2">
      <c r="A46" s="8" t="s">
        <v>17</v>
      </c>
      <c r="B46" s="8"/>
      <c r="C46" s="8"/>
      <c r="D46" s="8"/>
      <c r="E46" s="7"/>
      <c r="F46" s="7"/>
      <c r="G46" s="7"/>
      <c r="H46" s="47"/>
      <c r="I46" s="7" t="s">
        <v>141</v>
      </c>
      <c r="J46" s="7" t="s">
        <v>142</v>
      </c>
      <c r="K46" s="7" t="s">
        <v>135</v>
      </c>
      <c r="L46" s="35" t="s">
        <v>136</v>
      </c>
      <c r="M46" s="35" t="s">
        <v>134</v>
      </c>
      <c r="N46" s="36" t="s">
        <v>137</v>
      </c>
    </row>
    <row r="47" spans="1:14" ht="20.100000000000001" customHeight="1" x14ac:dyDescent="0.2">
      <c r="A47" s="10" t="s">
        <v>13</v>
      </c>
      <c r="B47" s="10" t="s">
        <v>8</v>
      </c>
      <c r="C47" s="9">
        <v>27692307.899999999</v>
      </c>
      <c r="D47" s="73">
        <f>MIN('Variables y Resumen'!$B$12,MIN('Variables y Resumen'!$B$5,$I$3)+N47 )</f>
        <v>6.5</v>
      </c>
      <c r="E47" s="39">
        <v>43360</v>
      </c>
      <c r="F47" s="39">
        <v>43539</v>
      </c>
      <c r="G47" s="41">
        <f>IF('Variables y Resumen'!$B$3=360,DAYS360(E47,F47),F47-E47)</f>
        <v>179</v>
      </c>
      <c r="H47" s="48">
        <f>C47*D47%/MID($H$15,8,3)*G47</f>
        <v>895000.00671250001</v>
      </c>
      <c r="I47" s="96">
        <f>VLOOKUP(A35,Tabla_Libor,8,0)</f>
        <v>2.5707499999999999</v>
      </c>
      <c r="J47" s="96">
        <f>VLOOKUP(B35,Tabla_Libor,8,0)</f>
        <v>2.6717499999999998</v>
      </c>
      <c r="K47" s="96">
        <f>(I47+J47)/2</f>
        <v>2.6212499999999999</v>
      </c>
      <c r="L47" s="97">
        <v>2.5679999999999996</v>
      </c>
      <c r="M47" s="51">
        <f>MIN(I47:L47)</f>
        <v>2.5679999999999996</v>
      </c>
      <c r="N47" s="37">
        <f>HLOOKUP(Selección_Libor,I46:M47,2,0)</f>
        <v>2.6212499999999999</v>
      </c>
    </row>
    <row r="48" spans="1:14" ht="20.100000000000001" customHeight="1" x14ac:dyDescent="0.2">
      <c r="A48" s="8" t="s">
        <v>1</v>
      </c>
      <c r="B48" s="8" t="s">
        <v>2</v>
      </c>
      <c r="C48" s="13"/>
      <c r="D48" s="8" t="s">
        <v>2</v>
      </c>
      <c r="E48" s="7" t="s">
        <v>2</v>
      </c>
      <c r="F48" s="7" t="s">
        <v>2</v>
      </c>
      <c r="G48" s="7" t="s">
        <v>2</v>
      </c>
      <c r="H48" s="49">
        <f>SUM(H47:H47)</f>
        <v>895000.00671250001</v>
      </c>
      <c r="I48" s="91"/>
      <c r="J48" s="91"/>
      <c r="K48" s="91"/>
    </row>
    <row r="49" spans="1:11" ht="20.100000000000001" customHeight="1" x14ac:dyDescent="0.2">
      <c r="E49" s="27"/>
      <c r="F49" s="27"/>
    </row>
    <row r="50" spans="1:11" ht="20.100000000000001" customHeight="1" x14ac:dyDescent="0.2">
      <c r="E50" s="27"/>
      <c r="F50" s="27"/>
    </row>
    <row r="51" spans="1:11" ht="25.5" customHeight="1" x14ac:dyDescent="0.2">
      <c r="A51" s="7" t="s">
        <v>23</v>
      </c>
      <c r="B51" s="7" t="s">
        <v>27</v>
      </c>
      <c r="C51" s="7" t="s">
        <v>26</v>
      </c>
      <c r="D51" s="7" t="s">
        <v>25</v>
      </c>
      <c r="E51" s="7" t="s">
        <v>21</v>
      </c>
      <c r="F51" s="7" t="s">
        <v>22</v>
      </c>
      <c r="G51" s="7" t="str">
        <f>G45</f>
        <v>Días (365)</v>
      </c>
      <c r="H51" s="7" t="str">
        <f>H45</f>
        <v>Monto (360)</v>
      </c>
      <c r="I51" s="92"/>
      <c r="J51" s="92"/>
      <c r="K51" s="92"/>
    </row>
    <row r="52" spans="1:11" ht="20.100000000000001" customHeight="1" x14ac:dyDescent="0.2">
      <c r="A52" s="8" t="s">
        <v>20</v>
      </c>
      <c r="B52" s="8"/>
      <c r="C52" s="8"/>
      <c r="D52" s="8"/>
      <c r="E52" s="7"/>
      <c r="F52" s="7"/>
      <c r="G52" s="7"/>
      <c r="H52" s="47"/>
      <c r="I52" s="93"/>
      <c r="J52" s="93"/>
      <c r="K52" s="93"/>
    </row>
    <row r="53" spans="1:11" ht="20.100000000000001" customHeight="1" x14ac:dyDescent="0.2">
      <c r="A53" s="10" t="s">
        <v>30</v>
      </c>
      <c r="B53" s="10" t="s">
        <v>28</v>
      </c>
      <c r="C53" s="9">
        <f>C38</f>
        <v>924154.25368567707</v>
      </c>
      <c r="D53" s="73">
        <f>MIN(D47+'Variables y Resumen'!$B$7,'Variables y Resumen'!$B$12)</f>
        <v>6.5</v>
      </c>
      <c r="E53" s="39">
        <v>43360</v>
      </c>
      <c r="F53" s="39">
        <v>43539</v>
      </c>
      <c r="G53" s="41">
        <f>IF('Variables y Resumen'!$B$3=360,DAYS360(E53,F53),F53-E53)</f>
        <v>179</v>
      </c>
      <c r="H53" s="48">
        <f>IF('Variables y Resumen'!$B$11="SI",C53*D53%/MID($H$15,8,3)*G53,0)</f>
        <v>29868.152060091259</v>
      </c>
      <c r="I53" s="90"/>
      <c r="J53" s="90"/>
      <c r="K53" s="90"/>
    </row>
    <row r="54" spans="1:11" ht="20.100000000000001" customHeight="1" x14ac:dyDescent="0.2">
      <c r="A54" s="10" t="s">
        <v>30</v>
      </c>
      <c r="B54" s="10" t="s">
        <v>28</v>
      </c>
      <c r="C54" s="9">
        <f>E38</f>
        <v>192.24277456597221</v>
      </c>
      <c r="D54" s="73">
        <f>D53</f>
        <v>6.5</v>
      </c>
      <c r="E54" s="39">
        <v>43360</v>
      </c>
      <c r="F54" s="39">
        <v>43539</v>
      </c>
      <c r="G54" s="41">
        <f>IF('Variables y Resumen'!$B$3=360,DAYS360(E54,F54),F54-E54)</f>
        <v>179</v>
      </c>
      <c r="H54" s="48">
        <f>IF('Variables y Resumen'!$B$11="SI",C54*D54%/MID($H$15,8,3)*G54,0)</f>
        <v>6.2131796724307966</v>
      </c>
      <c r="I54" s="90"/>
      <c r="J54" s="90"/>
      <c r="K54" s="90"/>
    </row>
    <row r="55" spans="1:11" ht="20.100000000000001" customHeight="1" x14ac:dyDescent="0.2">
      <c r="A55" s="10" t="s">
        <v>29</v>
      </c>
      <c r="B55" s="10" t="s">
        <v>28</v>
      </c>
      <c r="C55" s="9">
        <f>B38</f>
        <v>2307692.1</v>
      </c>
      <c r="D55" s="73">
        <f>MIN('Variables y Resumen'!$B$7,'Variables y Resumen'!$B$12-D47)</f>
        <v>0</v>
      </c>
      <c r="E55" s="39">
        <v>43360</v>
      </c>
      <c r="F55" s="39">
        <v>43539</v>
      </c>
      <c r="G55" s="41">
        <f>IF('Variables y Resumen'!$B$3=360,DAYS360(E55,F55),F55-E55)</f>
        <v>179</v>
      </c>
      <c r="H55" s="48">
        <f t="shared" ref="H55" si="1">C55*D55%/MID($H$15,8,3)*G55</f>
        <v>0</v>
      </c>
      <c r="I55" s="90"/>
      <c r="J55" s="90"/>
      <c r="K55" s="90"/>
    </row>
    <row r="56" spans="1:11" ht="20.100000000000001" customHeight="1" x14ac:dyDescent="0.2">
      <c r="A56" s="8" t="s">
        <v>1</v>
      </c>
      <c r="B56" s="8" t="s">
        <v>2</v>
      </c>
      <c r="C56" s="8" t="s">
        <v>2</v>
      </c>
      <c r="D56" s="8" t="s">
        <v>2</v>
      </c>
      <c r="E56" s="8" t="s">
        <v>2</v>
      </c>
      <c r="F56" s="8" t="s">
        <v>2</v>
      </c>
      <c r="G56" s="7" t="s">
        <v>2</v>
      </c>
      <c r="H56" s="49">
        <f>SUM(H53:H55)</f>
        <v>29874.365239763691</v>
      </c>
      <c r="I56" s="91"/>
      <c r="J56" s="91"/>
      <c r="K56" s="91"/>
    </row>
    <row r="57" spans="1:11" ht="20.100000000000001" customHeight="1" x14ac:dyDescent="0.2"/>
    <row r="58" spans="1:11" ht="20.100000000000001" customHeight="1" x14ac:dyDescent="0.2"/>
    <row r="59" spans="1:11" ht="20.100000000000001" customHeight="1" x14ac:dyDescent="0.2">
      <c r="A59" s="174" t="s">
        <v>33</v>
      </c>
      <c r="B59" s="175"/>
      <c r="C59" s="175"/>
    </row>
    <row r="60" spans="1:11" ht="20.100000000000001" customHeight="1" x14ac:dyDescent="0.2">
      <c r="A60" s="7" t="s">
        <v>23</v>
      </c>
      <c r="B60" s="7" t="s">
        <v>36</v>
      </c>
      <c r="C60" s="7" t="s">
        <v>110</v>
      </c>
      <c r="D60" s="7" t="s">
        <v>38</v>
      </c>
    </row>
    <row r="61" spans="1:11" ht="20.100000000000001" customHeight="1" x14ac:dyDescent="0.2">
      <c r="A61" s="10" t="s">
        <v>32</v>
      </c>
      <c r="B61" s="9">
        <f>D31</f>
        <v>0</v>
      </c>
      <c r="C61" s="38">
        <f>IF('Variables y Resumen'!$B$9="SI",0,0)</f>
        <v>0</v>
      </c>
      <c r="D61" s="9">
        <f>SUM(B61:C61)</f>
        <v>0</v>
      </c>
    </row>
    <row r="62" spans="1:11" ht="20.100000000000001" customHeight="1" x14ac:dyDescent="0.2">
      <c r="A62" s="14" t="s">
        <v>0</v>
      </c>
    </row>
    <row r="63" spans="1:11" ht="20.100000000000001" customHeight="1" x14ac:dyDescent="0.2">
      <c r="A63" s="34">
        <f>B35</f>
        <v>43539</v>
      </c>
      <c r="B63" s="34">
        <v>43724</v>
      </c>
      <c r="C63" s="5"/>
      <c r="D63" s="5"/>
      <c r="E63" s="5"/>
      <c r="F63" s="5"/>
      <c r="G63" s="28"/>
      <c r="H63" s="45"/>
      <c r="I63" s="45"/>
      <c r="J63" s="45"/>
      <c r="K63" s="45"/>
    </row>
    <row r="64" spans="1:11" ht="20.100000000000001" customHeight="1" x14ac:dyDescent="0.2">
      <c r="A64" s="176" t="s">
        <v>34</v>
      </c>
      <c r="B64" s="175"/>
      <c r="C64" s="175"/>
      <c r="D64" s="175"/>
      <c r="E64" s="175"/>
      <c r="F64" s="175"/>
    </row>
    <row r="65" spans="1:14" ht="24.95" customHeight="1" x14ac:dyDescent="0.2">
      <c r="A65" s="7" t="s">
        <v>23</v>
      </c>
      <c r="B65" s="7" t="s">
        <v>16</v>
      </c>
      <c r="C65" s="7" t="s">
        <v>17</v>
      </c>
      <c r="D65" s="7" t="s">
        <v>19</v>
      </c>
      <c r="E65" s="7" t="s">
        <v>63</v>
      </c>
      <c r="F65" s="7" t="s">
        <v>1</v>
      </c>
    </row>
    <row r="66" spans="1:14" ht="20.100000000000001" customHeight="1" x14ac:dyDescent="0.2">
      <c r="A66" s="8" t="s">
        <v>36</v>
      </c>
      <c r="B66" s="9">
        <f>B40</f>
        <v>4615384.2</v>
      </c>
      <c r="C66" s="9">
        <f>C40</f>
        <v>1819154.260398177</v>
      </c>
      <c r="D66" s="48">
        <f>D61</f>
        <v>0</v>
      </c>
      <c r="E66" s="9">
        <f>E40</f>
        <v>30066.608014329664</v>
      </c>
      <c r="F66" s="9">
        <f>SUM(B66:E66)</f>
        <v>6464605.068412506</v>
      </c>
    </row>
    <row r="67" spans="1:14" ht="20.100000000000001" customHeight="1" x14ac:dyDescent="0.2">
      <c r="A67" s="8" t="s">
        <v>110</v>
      </c>
      <c r="B67" s="9">
        <v>2307692.1</v>
      </c>
      <c r="C67" s="9">
        <f>H76</f>
        <v>907193.75680395297</v>
      </c>
      <c r="D67" s="48">
        <f>C90</f>
        <v>15000</v>
      </c>
      <c r="E67" s="9">
        <f>H85</f>
        <v>65191.8217958518</v>
      </c>
      <c r="F67" s="9">
        <f>SUM(B67:E67)</f>
        <v>3295077.6785998051</v>
      </c>
    </row>
    <row r="68" spans="1:14" ht="20.100000000000001" customHeight="1" x14ac:dyDescent="0.2">
      <c r="A68" s="8" t="s">
        <v>38</v>
      </c>
      <c r="B68" s="9">
        <f t="shared" ref="B68:D68" si="2">SUM(B66:B67)</f>
        <v>6923076.3000000007</v>
      </c>
      <c r="C68" s="9">
        <f t="shared" si="2"/>
        <v>2726348.0172021301</v>
      </c>
      <c r="D68" s="9">
        <f t="shared" si="2"/>
        <v>15000</v>
      </c>
      <c r="E68" s="9">
        <f>SUM(E66:E67)</f>
        <v>95258.429810181464</v>
      </c>
      <c r="F68" s="9">
        <f>SUM(F66:F67)</f>
        <v>9759682.7470123116</v>
      </c>
    </row>
    <row r="69" spans="1:14" ht="20.100000000000001" customHeight="1" x14ac:dyDescent="0.2"/>
    <row r="70" spans="1:14" ht="20.100000000000001" customHeight="1" x14ac:dyDescent="0.2"/>
    <row r="71" spans="1:14" ht="20.100000000000001" customHeight="1" x14ac:dyDescent="0.2"/>
    <row r="72" spans="1:14" ht="20.100000000000001" customHeight="1" x14ac:dyDescent="0.2">
      <c r="A72" s="174" t="s">
        <v>24</v>
      </c>
      <c r="B72" s="175"/>
      <c r="C72" s="175"/>
    </row>
    <row r="73" spans="1:14" ht="20.100000000000001" customHeight="1" x14ac:dyDescent="0.2">
      <c r="A73" s="7" t="s">
        <v>23</v>
      </c>
      <c r="B73" s="7" t="s">
        <v>27</v>
      </c>
      <c r="C73" s="7" t="s">
        <v>26</v>
      </c>
      <c r="D73" s="7" t="s">
        <v>25</v>
      </c>
      <c r="E73" s="7" t="s">
        <v>21</v>
      </c>
      <c r="F73" s="7" t="s">
        <v>22</v>
      </c>
      <c r="G73" s="7" t="str">
        <f>G51</f>
        <v>Días (365)</v>
      </c>
      <c r="H73" s="7" t="str">
        <f>H51</f>
        <v>Monto (360)</v>
      </c>
      <c r="I73" s="177" t="s">
        <v>139</v>
      </c>
      <c r="J73" s="177"/>
      <c r="K73" s="177"/>
      <c r="L73" s="177"/>
      <c r="M73" s="177"/>
      <c r="N73" s="177"/>
    </row>
    <row r="74" spans="1:14" ht="20.100000000000001" customHeight="1" x14ac:dyDescent="0.2">
      <c r="A74" s="8" t="s">
        <v>17</v>
      </c>
      <c r="B74" s="8"/>
      <c r="C74" s="8"/>
      <c r="D74" s="7"/>
      <c r="E74" s="7"/>
      <c r="F74" s="7"/>
      <c r="G74" s="7"/>
      <c r="H74" s="47"/>
      <c r="I74" s="7" t="s">
        <v>141</v>
      </c>
      <c r="J74" s="7" t="s">
        <v>142</v>
      </c>
      <c r="K74" s="7" t="s">
        <v>135</v>
      </c>
      <c r="L74" s="35" t="s">
        <v>136</v>
      </c>
      <c r="M74" s="35" t="s">
        <v>134</v>
      </c>
      <c r="N74" s="36" t="s">
        <v>137</v>
      </c>
    </row>
    <row r="75" spans="1:14" ht="20.100000000000001" customHeight="1" x14ac:dyDescent="0.2">
      <c r="A75" s="10" t="s">
        <v>13</v>
      </c>
      <c r="B75" s="10" t="s">
        <v>8</v>
      </c>
      <c r="C75" s="9">
        <v>27692307.899999999</v>
      </c>
      <c r="D75" s="73">
        <f>MIN('Variables y Resumen'!$B$12,MIN('Variables y Resumen'!$B$5,$I$3)+N75 )</f>
        <v>6.3748749999999994</v>
      </c>
      <c r="E75" s="39">
        <v>43539</v>
      </c>
      <c r="F75" s="39">
        <v>43724</v>
      </c>
      <c r="G75" s="41">
        <f>IF('Variables y Resumen'!$B$3=360,DAYS360(E75,F75),F75-E75)</f>
        <v>185</v>
      </c>
      <c r="H75" s="48">
        <f t="shared" ref="H75" si="3">C75*D75%/MID($H$15,8,3)*G75</f>
        <v>907193.75680395297</v>
      </c>
      <c r="I75" s="96">
        <f>VLOOKUP(A63,Tabla_Libor,8,0)</f>
        <v>2.6717499999999998</v>
      </c>
      <c r="J75" s="96">
        <f>VLOOKUP(B63,Tabla_Libor,8,0)</f>
        <v>2.0779999999999998</v>
      </c>
      <c r="K75" s="96">
        <f>(I75+J75)/2</f>
        <v>2.3748749999999998</v>
      </c>
      <c r="L75" s="97">
        <v>2.6769999999999996</v>
      </c>
      <c r="M75" s="51">
        <f>MIN(I75:L75)</f>
        <v>2.0779999999999998</v>
      </c>
      <c r="N75" s="37">
        <f>HLOOKUP(Selección_Libor,I74:M75,2,0)</f>
        <v>2.3748749999999998</v>
      </c>
    </row>
    <row r="76" spans="1:14" ht="20.100000000000001" customHeight="1" x14ac:dyDescent="0.2">
      <c r="A76" s="8" t="s">
        <v>1</v>
      </c>
      <c r="B76" s="8" t="s">
        <v>2</v>
      </c>
      <c r="C76" s="13"/>
      <c r="D76" s="7" t="s">
        <v>2</v>
      </c>
      <c r="E76" s="7" t="s">
        <v>2</v>
      </c>
      <c r="F76" s="7" t="s">
        <v>2</v>
      </c>
      <c r="G76" s="7" t="s">
        <v>2</v>
      </c>
      <c r="H76" s="49">
        <f>SUM(H75:H75)</f>
        <v>907193.75680395297</v>
      </c>
      <c r="I76" s="91"/>
      <c r="J76" s="91"/>
      <c r="K76" s="91"/>
    </row>
    <row r="77" spans="1:14" ht="20.100000000000001" customHeight="1" x14ac:dyDescent="0.2">
      <c r="D77" s="27"/>
      <c r="E77" s="27"/>
      <c r="F77" s="27"/>
    </row>
    <row r="78" spans="1:14" ht="20.100000000000001" customHeight="1" x14ac:dyDescent="0.2">
      <c r="D78" s="27"/>
      <c r="E78" s="27"/>
      <c r="F78" s="27"/>
    </row>
    <row r="79" spans="1:14" ht="24.95" customHeight="1" x14ac:dyDescent="0.2">
      <c r="A79" s="7" t="s">
        <v>23</v>
      </c>
      <c r="B79" s="7" t="s">
        <v>27</v>
      </c>
      <c r="C79" s="7" t="s">
        <v>26</v>
      </c>
      <c r="D79" s="7" t="s">
        <v>25</v>
      </c>
      <c r="E79" s="7" t="s">
        <v>21</v>
      </c>
      <c r="F79" s="7" t="s">
        <v>22</v>
      </c>
      <c r="G79" s="7" t="str">
        <f>G73</f>
        <v>Días (365)</v>
      </c>
      <c r="H79" s="7" t="str">
        <f>H73</f>
        <v>Monto (360)</v>
      </c>
      <c r="I79" s="92"/>
      <c r="J79" s="92"/>
      <c r="K79" s="92"/>
    </row>
    <row r="80" spans="1:14" ht="20.100000000000001" customHeight="1" x14ac:dyDescent="0.2">
      <c r="A80" s="8" t="s">
        <v>20</v>
      </c>
      <c r="B80" s="8"/>
      <c r="C80" s="8"/>
      <c r="D80" s="7"/>
      <c r="E80" s="7"/>
      <c r="F80" s="7"/>
      <c r="G80" s="7"/>
      <c r="H80" s="47"/>
      <c r="I80" s="93"/>
      <c r="J80" s="93"/>
      <c r="K80" s="93"/>
    </row>
    <row r="81" spans="1:11" ht="20.100000000000001" customHeight="1" x14ac:dyDescent="0.2">
      <c r="A81" s="10" t="s">
        <v>30</v>
      </c>
      <c r="B81" s="10" t="s">
        <v>28</v>
      </c>
      <c r="C81" s="9">
        <f>C66</f>
        <v>1819154.260398177</v>
      </c>
      <c r="D81" s="73">
        <f>MIN(D75+'Variables y Resumen'!$B$7,'Variables y Resumen'!$B$12)</f>
        <v>6.5</v>
      </c>
      <c r="E81" s="39">
        <v>43539</v>
      </c>
      <c r="F81" s="39">
        <v>43724</v>
      </c>
      <c r="G81" s="41">
        <f>IF('Variables y Resumen'!$B$3=360,DAYS360(E81,F81),F81-E81)</f>
        <v>185</v>
      </c>
      <c r="H81" s="48">
        <f>IF('Variables y Resumen'!$B$11="SI",C81*D81%/MID($H$15,8,3)*G81,0)</f>
        <v>60764.805503577998</v>
      </c>
      <c r="I81" s="90"/>
      <c r="J81" s="90"/>
      <c r="K81" s="90"/>
    </row>
    <row r="82" spans="1:11" ht="20.100000000000001" customHeight="1" x14ac:dyDescent="0.2">
      <c r="A82" s="10" t="s">
        <v>30</v>
      </c>
      <c r="B82" s="10" t="s">
        <v>28</v>
      </c>
      <c r="C82" s="9">
        <f>E66</f>
        <v>30066.608014329664</v>
      </c>
      <c r="D82" s="73">
        <f>D81</f>
        <v>6.5</v>
      </c>
      <c r="E82" s="39">
        <v>43539</v>
      </c>
      <c r="F82" s="39">
        <v>43724</v>
      </c>
      <c r="G82" s="41">
        <f>IF('Variables y Resumen'!$B$3=360,DAYS360(E82,F82),F82-E82)</f>
        <v>185</v>
      </c>
      <c r="H82" s="48">
        <f>IF('Variables y Resumen'!$B$11="SI",C82*D82%/MID($H$15,8,3)*G82,0)</f>
        <v>1004.3082260342061</v>
      </c>
      <c r="I82" s="90"/>
      <c r="J82" s="90"/>
      <c r="K82" s="90"/>
    </row>
    <row r="83" spans="1:11" ht="20.100000000000001" customHeight="1" x14ac:dyDescent="0.2">
      <c r="A83" s="10" t="s">
        <v>29</v>
      </c>
      <c r="B83" s="10" t="s">
        <v>28</v>
      </c>
      <c r="C83" s="9">
        <f>B66</f>
        <v>4615384.2</v>
      </c>
      <c r="D83" s="73">
        <f>MIN('Variables y Resumen'!$B$7,'Variables y Resumen'!$B$12-D75)</f>
        <v>0.1251250000000006</v>
      </c>
      <c r="E83" s="39">
        <v>43539</v>
      </c>
      <c r="F83" s="39">
        <v>43724</v>
      </c>
      <c r="G83" s="41">
        <f>IF('Variables y Resumen'!$B$3=360,DAYS360(E83,F83),F83-E83)</f>
        <v>185</v>
      </c>
      <c r="H83" s="48">
        <f t="shared" ref="H83" si="4">C83*D83%/MID($H$15,8,3)*G83</f>
        <v>2967.7080662395979</v>
      </c>
      <c r="I83" s="90"/>
      <c r="J83" s="90"/>
      <c r="K83" s="90"/>
    </row>
    <row r="84" spans="1:11" ht="20.100000000000001" customHeight="1" x14ac:dyDescent="0.2">
      <c r="A84" s="10" t="s">
        <v>31</v>
      </c>
      <c r="B84" s="10" t="s">
        <v>28</v>
      </c>
      <c r="C84" s="48">
        <f>D67</f>
        <v>15000</v>
      </c>
      <c r="D84" s="73">
        <f>D82</f>
        <v>6.5</v>
      </c>
      <c r="E84" s="39">
        <v>43556</v>
      </c>
      <c r="F84" s="39">
        <v>43724</v>
      </c>
      <c r="G84" s="41">
        <f>IF('Variables y Resumen'!$B$3=360,DAYS360(E84,F84),F84-E84)</f>
        <v>168</v>
      </c>
      <c r="H84" s="48">
        <f>IF('Variables y Resumen'!$B$10="SI",C84*D84%/MID($H$15,8,3)*G84,0)</f>
        <v>455</v>
      </c>
      <c r="I84" s="90"/>
      <c r="J84" s="90"/>
      <c r="K84" s="90"/>
    </row>
    <row r="85" spans="1:11" ht="20.100000000000001" customHeight="1" x14ac:dyDescent="0.2">
      <c r="A85" s="8" t="s">
        <v>1</v>
      </c>
      <c r="B85" s="8" t="s">
        <v>2</v>
      </c>
      <c r="C85" s="8" t="s">
        <v>2</v>
      </c>
      <c r="D85" s="8" t="s">
        <v>2</v>
      </c>
      <c r="E85" s="8" t="s">
        <v>2</v>
      </c>
      <c r="F85" s="8" t="s">
        <v>2</v>
      </c>
      <c r="G85" s="7" t="s">
        <v>2</v>
      </c>
      <c r="H85" s="49">
        <f>SUM(H81:H84)</f>
        <v>65191.8217958518</v>
      </c>
      <c r="I85" s="91"/>
      <c r="J85" s="91"/>
      <c r="K85" s="91"/>
    </row>
    <row r="86" spans="1:11" ht="20.100000000000001" customHeight="1" x14ac:dyDescent="0.2"/>
    <row r="87" spans="1:11" ht="20.100000000000001" customHeight="1" x14ac:dyDescent="0.2"/>
    <row r="88" spans="1:11" ht="20.100000000000001" customHeight="1" x14ac:dyDescent="0.2">
      <c r="A88" s="174" t="s">
        <v>33</v>
      </c>
      <c r="B88" s="175"/>
      <c r="C88" s="175"/>
    </row>
    <row r="89" spans="1:11" ht="20.100000000000001" customHeight="1" x14ac:dyDescent="0.2">
      <c r="A89" s="7" t="s">
        <v>23</v>
      </c>
      <c r="B89" s="7" t="s">
        <v>36</v>
      </c>
      <c r="C89" s="7" t="s">
        <v>110</v>
      </c>
      <c r="D89" s="7" t="s">
        <v>38</v>
      </c>
    </row>
    <row r="90" spans="1:11" ht="20.100000000000001" customHeight="1" x14ac:dyDescent="0.2">
      <c r="A90" s="10" t="s">
        <v>32</v>
      </c>
      <c r="B90" s="9">
        <f>D61</f>
        <v>0</v>
      </c>
      <c r="C90" s="38">
        <f>IF('Variables y Resumen'!$B$9="SI",15000,0)</f>
        <v>15000</v>
      </c>
      <c r="D90" s="9">
        <f>SUM(B90:C90)</f>
        <v>15000</v>
      </c>
    </row>
    <row r="91" spans="1:11" ht="20.100000000000001" customHeight="1" x14ac:dyDescent="0.2">
      <c r="A91" s="14" t="s">
        <v>0</v>
      </c>
    </row>
    <row r="92" spans="1:11" ht="20.100000000000001" customHeight="1" x14ac:dyDescent="0.2">
      <c r="A92" s="15"/>
    </row>
    <row r="93" spans="1:11" ht="20.100000000000001" customHeight="1" x14ac:dyDescent="0.2">
      <c r="A93" s="34">
        <f>B63</f>
        <v>43724</v>
      </c>
      <c r="B93" s="34">
        <v>43906</v>
      </c>
      <c r="C93" s="5"/>
      <c r="D93" s="5"/>
      <c r="E93" s="5"/>
      <c r="F93" s="5"/>
      <c r="G93" s="28"/>
      <c r="H93" s="45"/>
      <c r="I93" s="45"/>
      <c r="J93" s="45"/>
      <c r="K93" s="45"/>
    </row>
    <row r="94" spans="1:11" ht="20.100000000000001" customHeight="1" x14ac:dyDescent="0.2">
      <c r="A94" s="176" t="s">
        <v>34</v>
      </c>
      <c r="B94" s="175"/>
      <c r="C94" s="175"/>
      <c r="D94" s="175"/>
      <c r="E94" s="175"/>
      <c r="F94" s="175"/>
    </row>
    <row r="95" spans="1:11" ht="20.100000000000001" customHeight="1" x14ac:dyDescent="0.2">
      <c r="A95" s="7" t="s">
        <v>23</v>
      </c>
      <c r="B95" s="7" t="s">
        <v>16</v>
      </c>
      <c r="C95" s="7" t="s">
        <v>17</v>
      </c>
      <c r="D95" s="7" t="s">
        <v>19</v>
      </c>
      <c r="E95" s="7" t="s">
        <v>63</v>
      </c>
      <c r="F95" s="7" t="s">
        <v>1</v>
      </c>
    </row>
    <row r="96" spans="1:11" ht="20.100000000000001" customHeight="1" x14ac:dyDescent="0.2">
      <c r="A96" s="8" t="s">
        <v>36</v>
      </c>
      <c r="B96" s="9">
        <f>B68</f>
        <v>6923076.3000000007</v>
      </c>
      <c r="C96" s="9">
        <f>C68</f>
        <v>2726348.0172021301</v>
      </c>
      <c r="D96" s="9">
        <f>D90</f>
        <v>15000</v>
      </c>
      <c r="E96" s="9">
        <f>E68</f>
        <v>95258.429810181464</v>
      </c>
      <c r="F96" s="9">
        <f>SUM(B96:E96)</f>
        <v>9759682.7470123116</v>
      </c>
    </row>
    <row r="97" spans="1:14" ht="20.100000000000001" customHeight="1" x14ac:dyDescent="0.2">
      <c r="A97" s="8" t="s">
        <v>110</v>
      </c>
      <c r="B97" s="9">
        <v>2307692.1</v>
      </c>
      <c r="C97" s="9">
        <f>H106</f>
        <v>764522.50573391863</v>
      </c>
      <c r="D97" s="48">
        <f>C120</f>
        <v>15000</v>
      </c>
      <c r="E97" s="9">
        <f>H115</f>
        <v>129583.41136052196</v>
      </c>
      <c r="F97" s="9">
        <f>SUM(B97:E97)</f>
        <v>3216798.0170944408</v>
      </c>
    </row>
    <row r="98" spans="1:14" ht="20.100000000000001" customHeight="1" x14ac:dyDescent="0.2">
      <c r="A98" s="8" t="s">
        <v>38</v>
      </c>
      <c r="B98" s="9">
        <f t="shared" ref="B98:E98" si="5">SUM(B96:B97)</f>
        <v>9230768.4000000004</v>
      </c>
      <c r="C98" s="9">
        <f t="shared" si="5"/>
        <v>3490870.5229360489</v>
      </c>
      <c r="D98" s="9">
        <f t="shared" si="5"/>
        <v>30000</v>
      </c>
      <c r="E98" s="9">
        <f t="shared" si="5"/>
        <v>224841.84117070341</v>
      </c>
      <c r="F98" s="9">
        <f>SUM(F96:F97)</f>
        <v>12976480.764106752</v>
      </c>
    </row>
    <row r="99" spans="1:14" ht="20.100000000000001" customHeight="1" x14ac:dyDescent="0.2"/>
    <row r="100" spans="1:14" ht="20.100000000000001" customHeight="1" x14ac:dyDescent="0.2"/>
    <row r="101" spans="1:14" ht="20.100000000000001" customHeight="1" x14ac:dyDescent="0.2"/>
    <row r="102" spans="1:14" ht="20.100000000000001" customHeight="1" x14ac:dyDescent="0.2">
      <c r="A102" s="174" t="s">
        <v>24</v>
      </c>
      <c r="B102" s="175"/>
      <c r="C102" s="175"/>
    </row>
    <row r="103" spans="1:14" ht="24.95" customHeight="1" x14ac:dyDescent="0.2">
      <c r="A103" s="7" t="s">
        <v>23</v>
      </c>
      <c r="B103" s="7" t="s">
        <v>27</v>
      </c>
      <c r="C103" s="7" t="s">
        <v>26</v>
      </c>
      <c r="D103" s="7" t="s">
        <v>25</v>
      </c>
      <c r="E103" s="7" t="s">
        <v>21</v>
      </c>
      <c r="F103" s="7" t="s">
        <v>22</v>
      </c>
      <c r="G103" s="7" t="str">
        <f>G79</f>
        <v>Días (365)</v>
      </c>
      <c r="H103" s="7" t="str">
        <f>H79</f>
        <v>Monto (360)</v>
      </c>
      <c r="I103" s="177" t="s">
        <v>139</v>
      </c>
      <c r="J103" s="177"/>
      <c r="K103" s="177"/>
      <c r="L103" s="177"/>
      <c r="M103" s="177"/>
      <c r="N103" s="177"/>
    </row>
    <row r="104" spans="1:14" ht="20.100000000000001" customHeight="1" x14ac:dyDescent="0.2">
      <c r="A104" s="8" t="s">
        <v>17</v>
      </c>
      <c r="B104" s="8"/>
      <c r="C104" s="8"/>
      <c r="D104" s="7"/>
      <c r="E104" s="7"/>
      <c r="F104" s="7"/>
      <c r="G104" s="7"/>
      <c r="H104" s="47"/>
      <c r="I104" s="7" t="s">
        <v>141</v>
      </c>
      <c r="J104" s="7" t="s">
        <v>142</v>
      </c>
      <c r="K104" s="7" t="s">
        <v>135</v>
      </c>
      <c r="L104" s="35" t="s">
        <v>136</v>
      </c>
      <c r="M104" s="35" t="s">
        <v>134</v>
      </c>
      <c r="N104" s="36" t="s">
        <v>137</v>
      </c>
    </row>
    <row r="105" spans="1:14" ht="20.100000000000001" customHeight="1" x14ac:dyDescent="0.2">
      <c r="A105" s="10" t="s">
        <v>13</v>
      </c>
      <c r="B105" s="10" t="s">
        <v>8</v>
      </c>
      <c r="C105" s="9">
        <v>27692307.899999999</v>
      </c>
      <c r="D105" s="73">
        <f>MIN('Variables y Resumen'!$B$12,MIN('Variables y Resumen'!$B$5,$I$3)+N105 )</f>
        <v>5.4608749999999997</v>
      </c>
      <c r="E105" s="39">
        <v>43724</v>
      </c>
      <c r="F105" s="39">
        <v>43906</v>
      </c>
      <c r="G105" s="41">
        <f>IF('Variables y Resumen'!$B$3=360,DAYS360(E105,F105),F105-E105)</f>
        <v>182</v>
      </c>
      <c r="H105" s="48">
        <f t="shared" ref="H105" si="6">C105*D105%/MID($H$15,8,3)*G105</f>
        <v>764522.50573391863</v>
      </c>
      <c r="I105" s="96">
        <f>VLOOKUP(A93,Tabla_Libor,8,0)</f>
        <v>2.0779999999999998</v>
      </c>
      <c r="J105" s="96">
        <f>VLOOKUP(B93,Tabla_Libor,8,0)</f>
        <v>0.84375</v>
      </c>
      <c r="K105" s="96">
        <f>(I105+J105)/2</f>
        <v>1.4608749999999999</v>
      </c>
      <c r="L105" s="97">
        <v>2.048</v>
      </c>
      <c r="M105" s="51">
        <f>MIN(I105:L105)</f>
        <v>0.84375</v>
      </c>
      <c r="N105" s="37">
        <f>HLOOKUP(Selección_Libor,I104:M105,2,0)</f>
        <v>1.4608749999999999</v>
      </c>
    </row>
    <row r="106" spans="1:14" ht="20.100000000000001" customHeight="1" x14ac:dyDescent="0.2">
      <c r="A106" s="8" t="s">
        <v>1</v>
      </c>
      <c r="B106" s="8" t="s">
        <v>2</v>
      </c>
      <c r="C106" s="13"/>
      <c r="D106" s="7" t="s">
        <v>2</v>
      </c>
      <c r="E106" s="7" t="s">
        <v>2</v>
      </c>
      <c r="F106" s="7" t="s">
        <v>2</v>
      </c>
      <c r="G106" s="7" t="s">
        <v>2</v>
      </c>
      <c r="H106" s="49">
        <f>SUM(H105:H105)</f>
        <v>764522.50573391863</v>
      </c>
      <c r="I106" s="91"/>
      <c r="J106" s="91"/>
      <c r="K106" s="91"/>
    </row>
    <row r="107" spans="1:14" ht="20.100000000000001" customHeight="1" x14ac:dyDescent="0.2">
      <c r="D107" s="27"/>
      <c r="E107" s="27"/>
      <c r="F107" s="27"/>
    </row>
    <row r="108" spans="1:14" ht="20.100000000000001" customHeight="1" x14ac:dyDescent="0.2">
      <c r="D108" s="27"/>
      <c r="E108" s="27"/>
      <c r="F108" s="27"/>
    </row>
    <row r="109" spans="1:14" ht="25.5" customHeight="1" x14ac:dyDescent="0.2">
      <c r="A109" s="7" t="s">
        <v>23</v>
      </c>
      <c r="B109" s="7" t="s">
        <v>27</v>
      </c>
      <c r="C109" s="7" t="s">
        <v>26</v>
      </c>
      <c r="D109" s="7" t="s">
        <v>25</v>
      </c>
      <c r="E109" s="7" t="s">
        <v>21</v>
      </c>
      <c r="F109" s="7" t="s">
        <v>22</v>
      </c>
      <c r="G109" s="7" t="str">
        <f>G103</f>
        <v>Días (365)</v>
      </c>
      <c r="H109" s="47" t="str">
        <f>H103</f>
        <v>Monto (360)</v>
      </c>
      <c r="I109" s="93"/>
      <c r="J109" s="93"/>
      <c r="K109" s="93"/>
    </row>
    <row r="110" spans="1:14" ht="20.100000000000001" customHeight="1" x14ac:dyDescent="0.2">
      <c r="A110" s="8" t="s">
        <v>20</v>
      </c>
      <c r="B110" s="8"/>
      <c r="C110" s="8"/>
      <c r="D110" s="7"/>
      <c r="E110" s="7"/>
      <c r="F110" s="7"/>
      <c r="G110" s="7"/>
      <c r="H110" s="47"/>
      <c r="I110" s="93"/>
      <c r="J110" s="93"/>
      <c r="K110" s="93"/>
    </row>
    <row r="111" spans="1:14" ht="20.100000000000001" customHeight="1" x14ac:dyDescent="0.2">
      <c r="A111" s="10" t="s">
        <v>30</v>
      </c>
      <c r="B111" s="10" t="s">
        <v>28</v>
      </c>
      <c r="C111" s="9">
        <f>C96</f>
        <v>2726348.0172021301</v>
      </c>
      <c r="D111" s="73">
        <f>MIN(D105+'Variables y Resumen'!$B$7,'Variables y Resumen'!$B$12)</f>
        <v>6.5</v>
      </c>
      <c r="E111" s="39">
        <v>43724</v>
      </c>
      <c r="F111" s="39">
        <v>43906</v>
      </c>
      <c r="G111" s="41">
        <f>IF('Variables y Resumen'!$B$3=360,DAYS360(E111,F111),F111-E111)</f>
        <v>182</v>
      </c>
      <c r="H111" s="48">
        <f>IF('Variables y Resumen'!$B$11="SI",C111*D111%/MID($H$15,8,3)*G111,0)</f>
        <v>89590.825120836671</v>
      </c>
      <c r="I111" s="90"/>
      <c r="J111" s="90"/>
      <c r="K111" s="90"/>
    </row>
    <row r="112" spans="1:14" ht="20.100000000000001" customHeight="1" x14ac:dyDescent="0.2">
      <c r="A112" s="10" t="s">
        <v>30</v>
      </c>
      <c r="B112" s="10" t="s">
        <v>28</v>
      </c>
      <c r="C112" s="9">
        <f>E96</f>
        <v>95258.429810181464</v>
      </c>
      <c r="D112" s="73">
        <f>D111</f>
        <v>6.5</v>
      </c>
      <c r="E112" s="39">
        <v>43724</v>
      </c>
      <c r="F112" s="39">
        <v>43906</v>
      </c>
      <c r="G112" s="41">
        <f>IF('Variables y Resumen'!$B$3=360,DAYS360(E112,F112),F112-E112)</f>
        <v>182</v>
      </c>
      <c r="H112" s="48">
        <f>IF('Variables y Resumen'!$B$11="SI",C112*D112%/MID($H$15,8,3)*G112,0)</f>
        <v>3130.2978462623519</v>
      </c>
      <c r="I112" s="90"/>
      <c r="J112" s="90"/>
      <c r="K112" s="90"/>
    </row>
    <row r="113" spans="1:11" ht="20.100000000000001" customHeight="1" x14ac:dyDescent="0.2">
      <c r="A113" s="10" t="s">
        <v>29</v>
      </c>
      <c r="B113" s="10" t="s">
        <v>28</v>
      </c>
      <c r="C113" s="9">
        <f>B96</f>
        <v>6923076.3000000007</v>
      </c>
      <c r="D113" s="73">
        <f>MIN('Variables y Resumen'!$B$7,'Variables y Resumen'!$B$12-D105)</f>
        <v>1.0391250000000003</v>
      </c>
      <c r="E113" s="39">
        <v>43724</v>
      </c>
      <c r="F113" s="39">
        <v>43906</v>
      </c>
      <c r="G113" s="41">
        <f>IF('Variables y Resumen'!$B$3=360,DAYS360(E113,F113),F113-E113)</f>
        <v>182</v>
      </c>
      <c r="H113" s="48">
        <f t="shared" ref="H113" si="7">C113*D113%/MID($H$15,8,3)*G113</f>
        <v>36369.371726756261</v>
      </c>
      <c r="I113" s="90"/>
      <c r="J113" s="90"/>
      <c r="K113" s="90"/>
    </row>
    <row r="114" spans="1:11" ht="20.100000000000001" customHeight="1" x14ac:dyDescent="0.2">
      <c r="A114" s="10" t="s">
        <v>31</v>
      </c>
      <c r="B114" s="10" t="s">
        <v>28</v>
      </c>
      <c r="C114" s="9">
        <v>15000</v>
      </c>
      <c r="D114" s="73">
        <f>D112</f>
        <v>6.5</v>
      </c>
      <c r="E114" s="39">
        <v>43724</v>
      </c>
      <c r="F114" s="39">
        <v>43906</v>
      </c>
      <c r="G114" s="41">
        <f>IF('Variables y Resumen'!$B$3=360,DAYS360(E114,F114),F114-E114)</f>
        <v>182</v>
      </c>
      <c r="H114" s="48">
        <f>IF('Variables y Resumen'!$B$10="SI",C114*D114%/MID($H$15,8,3)*G114,0)</f>
        <v>492.91666666666669</v>
      </c>
      <c r="I114" s="90"/>
      <c r="J114" s="90"/>
      <c r="K114" s="90"/>
    </row>
    <row r="115" spans="1:11" ht="20.100000000000001" customHeight="1" x14ac:dyDescent="0.2">
      <c r="A115" s="8" t="s">
        <v>1</v>
      </c>
      <c r="B115" s="8" t="s">
        <v>2</v>
      </c>
      <c r="C115" s="13"/>
      <c r="D115" s="8" t="s">
        <v>2</v>
      </c>
      <c r="E115" s="8" t="s">
        <v>2</v>
      </c>
      <c r="F115" s="8" t="s">
        <v>2</v>
      </c>
      <c r="G115" s="7" t="s">
        <v>2</v>
      </c>
      <c r="H115" s="49">
        <f>SUM(H111:H114)</f>
        <v>129583.41136052196</v>
      </c>
      <c r="I115" s="91"/>
      <c r="J115" s="91"/>
      <c r="K115" s="91"/>
    </row>
    <row r="116" spans="1:11" ht="20.100000000000001" customHeight="1" x14ac:dyDescent="0.2"/>
    <row r="117" spans="1:11" ht="20.100000000000001" customHeight="1" x14ac:dyDescent="0.2"/>
    <row r="118" spans="1:11" ht="20.100000000000001" customHeight="1" x14ac:dyDescent="0.2">
      <c r="A118" s="174" t="s">
        <v>33</v>
      </c>
      <c r="B118" s="175"/>
      <c r="C118" s="175"/>
    </row>
    <row r="119" spans="1:11" ht="20.100000000000001" customHeight="1" x14ac:dyDescent="0.2">
      <c r="A119" s="7" t="s">
        <v>23</v>
      </c>
      <c r="B119" s="7" t="s">
        <v>36</v>
      </c>
      <c r="C119" s="7" t="s">
        <v>110</v>
      </c>
      <c r="D119" s="7" t="s">
        <v>38</v>
      </c>
    </row>
    <row r="120" spans="1:11" ht="20.100000000000001" customHeight="1" x14ac:dyDescent="0.2">
      <c r="A120" s="10" t="s">
        <v>32</v>
      </c>
      <c r="B120" s="9">
        <f>D90</f>
        <v>15000</v>
      </c>
      <c r="C120" s="48">
        <f>IF('Variables y Resumen'!$B$9="SI",15000,0)</f>
        <v>15000</v>
      </c>
      <c r="D120" s="9">
        <f>SUM(B120:C120)</f>
        <v>30000</v>
      </c>
    </row>
    <row r="121" spans="1:11" ht="20.100000000000001" customHeight="1" x14ac:dyDescent="0.2">
      <c r="A121" s="14" t="s">
        <v>0</v>
      </c>
    </row>
    <row r="122" spans="1:11" ht="20.100000000000001" customHeight="1" x14ac:dyDescent="0.2">
      <c r="A122" s="15"/>
    </row>
    <row r="123" spans="1:11" ht="20.100000000000001" customHeight="1" x14ac:dyDescent="0.2">
      <c r="A123" s="34">
        <f>B93</f>
        <v>43906</v>
      </c>
      <c r="B123" s="34">
        <v>44089</v>
      </c>
      <c r="C123" s="5"/>
      <c r="D123" s="5"/>
      <c r="E123" s="5"/>
      <c r="F123" s="5"/>
      <c r="G123" s="28"/>
      <c r="H123" s="45"/>
      <c r="I123" s="45"/>
      <c r="J123" s="45"/>
      <c r="K123" s="45"/>
    </row>
    <row r="124" spans="1:11" ht="20.100000000000001" customHeight="1" x14ac:dyDescent="0.2">
      <c r="A124" s="176" t="s">
        <v>34</v>
      </c>
      <c r="B124" s="175"/>
      <c r="C124" s="175"/>
      <c r="D124" s="175"/>
      <c r="E124" s="175"/>
      <c r="F124" s="175"/>
    </row>
    <row r="125" spans="1:11" ht="24.95" customHeight="1" x14ac:dyDescent="0.2">
      <c r="A125" s="7" t="s">
        <v>23</v>
      </c>
      <c r="B125" s="7" t="s">
        <v>16</v>
      </c>
      <c r="C125" s="7" t="s">
        <v>17</v>
      </c>
      <c r="D125" s="7" t="s">
        <v>19</v>
      </c>
      <c r="E125" s="7" t="s">
        <v>63</v>
      </c>
      <c r="F125" s="7" t="s">
        <v>1</v>
      </c>
    </row>
    <row r="126" spans="1:11" ht="20.100000000000001" customHeight="1" x14ac:dyDescent="0.2">
      <c r="A126" s="8" t="s">
        <v>36</v>
      </c>
      <c r="B126" s="9">
        <f>B98</f>
        <v>9230768.4000000004</v>
      </c>
      <c r="C126" s="9">
        <f>C98</f>
        <v>3490870.5229360489</v>
      </c>
      <c r="D126" s="9">
        <f>D120</f>
        <v>30000</v>
      </c>
      <c r="E126" s="9">
        <f>E98</f>
        <v>224841.84117070341</v>
      </c>
      <c r="F126" s="9">
        <f>SUM(B126:E126)</f>
        <v>12976480.764106752</v>
      </c>
    </row>
    <row r="127" spans="1:11" ht="20.100000000000001" customHeight="1" x14ac:dyDescent="0.2">
      <c r="A127" s="8" t="s">
        <v>110</v>
      </c>
      <c r="B127" s="9">
        <v>2307692.1</v>
      </c>
      <c r="C127" s="9">
        <f>H136</f>
        <v>641696.54327426257</v>
      </c>
      <c r="D127" s="9">
        <f>C152</f>
        <v>106507.48</v>
      </c>
      <c r="E127" s="9">
        <f>H145</f>
        <v>214865.72501107724</v>
      </c>
      <c r="F127" s="9">
        <f>SUM(B127:E127)</f>
        <v>3270761.8482853398</v>
      </c>
    </row>
    <row r="128" spans="1:11" ht="20.100000000000001" customHeight="1" x14ac:dyDescent="0.2">
      <c r="A128" s="8" t="s">
        <v>38</v>
      </c>
      <c r="B128" s="9">
        <f t="shared" ref="B128:E128" si="8">SUM(B126:B127)</f>
        <v>11538460.5</v>
      </c>
      <c r="C128" s="9">
        <f t="shared" si="8"/>
        <v>4132567.0662103114</v>
      </c>
      <c r="D128" s="9">
        <f t="shared" si="8"/>
        <v>136507.47999999998</v>
      </c>
      <c r="E128" s="9">
        <f t="shared" si="8"/>
        <v>439707.56618178065</v>
      </c>
      <c r="F128" s="9">
        <f>SUM(F126:F127)</f>
        <v>16247242.612392092</v>
      </c>
    </row>
    <row r="129" spans="1:14" ht="20.100000000000001" customHeight="1" x14ac:dyDescent="0.2"/>
    <row r="130" spans="1:14" ht="20.100000000000001" customHeight="1" x14ac:dyDescent="0.2"/>
    <row r="131" spans="1:14" ht="20.100000000000001" customHeight="1" x14ac:dyDescent="0.2"/>
    <row r="132" spans="1:14" ht="20.100000000000001" customHeight="1" x14ac:dyDescent="0.2">
      <c r="A132" s="174" t="s">
        <v>24</v>
      </c>
      <c r="B132" s="175"/>
      <c r="C132" s="175"/>
    </row>
    <row r="133" spans="1:14" ht="27.75" customHeight="1" x14ac:dyDescent="0.2">
      <c r="A133" s="7" t="s">
        <v>23</v>
      </c>
      <c r="B133" s="7" t="s">
        <v>27</v>
      </c>
      <c r="C133" s="7" t="s">
        <v>26</v>
      </c>
      <c r="D133" s="7" t="s">
        <v>25</v>
      </c>
      <c r="E133" s="7" t="s">
        <v>21</v>
      </c>
      <c r="F133" s="7" t="s">
        <v>22</v>
      </c>
      <c r="G133" s="7" t="str">
        <f>G109</f>
        <v>Días (365)</v>
      </c>
      <c r="H133" s="7" t="str">
        <f>H109</f>
        <v>Monto (360)</v>
      </c>
      <c r="I133" s="177" t="s">
        <v>139</v>
      </c>
      <c r="J133" s="177"/>
      <c r="K133" s="177"/>
      <c r="L133" s="177"/>
      <c r="M133" s="177"/>
      <c r="N133" s="177"/>
    </row>
    <row r="134" spans="1:14" ht="20.100000000000001" customHeight="1" x14ac:dyDescent="0.2">
      <c r="A134" s="8" t="s">
        <v>17</v>
      </c>
      <c r="B134" s="8"/>
      <c r="C134" s="8"/>
      <c r="D134" s="8"/>
      <c r="E134" s="7"/>
      <c r="F134" s="7"/>
      <c r="G134" s="7"/>
      <c r="H134" s="47"/>
      <c r="I134" s="7" t="s">
        <v>141</v>
      </c>
      <c r="J134" s="7" t="s">
        <v>142</v>
      </c>
      <c r="K134" s="7" t="s">
        <v>135</v>
      </c>
      <c r="L134" s="35" t="s">
        <v>136</v>
      </c>
      <c r="M134" s="35" t="s">
        <v>134</v>
      </c>
      <c r="N134" s="36" t="s">
        <v>137</v>
      </c>
    </row>
    <row r="135" spans="1:14" ht="20.100000000000001" customHeight="1" x14ac:dyDescent="0.2">
      <c r="A135" s="10" t="s">
        <v>13</v>
      </c>
      <c r="B135" s="10" t="s">
        <v>8</v>
      </c>
      <c r="C135" s="9">
        <v>27692307.899999999</v>
      </c>
      <c r="D135" s="73">
        <f>MIN('Variables y Resumen'!$B$12,MIN('Variables y Resumen'!$B$5,$I$3)+N135 )</f>
        <v>4.5585000000000004</v>
      </c>
      <c r="E135" s="39">
        <v>43906</v>
      </c>
      <c r="F135" s="39">
        <v>44089</v>
      </c>
      <c r="G135" s="41">
        <f>IF('Variables y Resumen'!$B$3=360,DAYS360(E135,F135),F135-E135)</f>
        <v>183</v>
      </c>
      <c r="H135" s="48">
        <f t="shared" ref="H135" si="9">C135*D135%/MID($H$15,8,3)*G135</f>
        <v>641696.54327426257</v>
      </c>
      <c r="I135" s="96">
        <f>VLOOKUP(A123,Tabla_Libor,8,0)</f>
        <v>0.84375</v>
      </c>
      <c r="J135" s="96">
        <f>VLOOKUP(B123,Tabla_Libor,8,0)</f>
        <v>0.27324999999999999</v>
      </c>
      <c r="K135" s="96">
        <f>(I135+J135)/2</f>
        <v>0.5585</v>
      </c>
      <c r="L135" s="97">
        <v>0.73800000000000043</v>
      </c>
      <c r="M135" s="51">
        <f>MIN(I135:L135)</f>
        <v>0.27324999999999999</v>
      </c>
      <c r="N135" s="37">
        <f>HLOOKUP(Selección_Libor,I134:M135,2,0)</f>
        <v>0.5585</v>
      </c>
    </row>
    <row r="136" spans="1:14" ht="20.100000000000001" customHeight="1" x14ac:dyDescent="0.2">
      <c r="A136" s="8" t="s">
        <v>1</v>
      </c>
      <c r="B136" s="8" t="s">
        <v>2</v>
      </c>
      <c r="C136" s="13"/>
      <c r="D136" s="8" t="s">
        <v>2</v>
      </c>
      <c r="E136" s="7" t="s">
        <v>2</v>
      </c>
      <c r="F136" s="7" t="s">
        <v>2</v>
      </c>
      <c r="G136" s="7" t="s">
        <v>2</v>
      </c>
      <c r="H136" s="49">
        <f>SUM(H135:H135)</f>
        <v>641696.54327426257</v>
      </c>
      <c r="I136" s="91"/>
      <c r="J136" s="91"/>
      <c r="K136" s="91"/>
    </row>
    <row r="137" spans="1:14" ht="20.100000000000001" customHeight="1" x14ac:dyDescent="0.2">
      <c r="E137" s="27"/>
      <c r="F137" s="27"/>
    </row>
    <row r="138" spans="1:14" ht="20.100000000000001" customHeight="1" x14ac:dyDescent="0.2">
      <c r="E138" s="27"/>
      <c r="F138" s="27"/>
    </row>
    <row r="139" spans="1:14" ht="24.95" customHeight="1" x14ac:dyDescent="0.2">
      <c r="A139" s="7" t="s">
        <v>23</v>
      </c>
      <c r="B139" s="7" t="s">
        <v>27</v>
      </c>
      <c r="C139" s="7" t="s">
        <v>26</v>
      </c>
      <c r="D139" s="7" t="s">
        <v>25</v>
      </c>
      <c r="E139" s="7" t="s">
        <v>21</v>
      </c>
      <c r="F139" s="7" t="s">
        <v>22</v>
      </c>
      <c r="G139" s="7" t="str">
        <f>G133</f>
        <v>Días (365)</v>
      </c>
      <c r="H139" s="47" t="str">
        <f>H133</f>
        <v>Monto (360)</v>
      </c>
      <c r="I139" s="93"/>
      <c r="J139" s="93"/>
      <c r="K139" s="93"/>
    </row>
    <row r="140" spans="1:14" ht="20.100000000000001" customHeight="1" x14ac:dyDescent="0.2">
      <c r="A140" s="8" t="s">
        <v>20</v>
      </c>
      <c r="B140" s="8"/>
      <c r="C140" s="8"/>
      <c r="D140" s="8"/>
      <c r="E140" s="7"/>
      <c r="F140" s="7"/>
      <c r="G140" s="7"/>
      <c r="H140" s="47"/>
      <c r="I140" s="93"/>
      <c r="J140" s="93"/>
      <c r="K140" s="93"/>
    </row>
    <row r="141" spans="1:14" ht="20.100000000000001" customHeight="1" x14ac:dyDescent="0.2">
      <c r="A141" s="10" t="s">
        <v>30</v>
      </c>
      <c r="B141" s="10" t="s">
        <v>28</v>
      </c>
      <c r="C141" s="9">
        <f>C126</f>
        <v>3490870.5229360489</v>
      </c>
      <c r="D141" s="73">
        <f>MIN(D135+'Variables y Resumen'!$B$7,'Variables y Resumen'!$B$12)</f>
        <v>6.5</v>
      </c>
      <c r="E141" s="39">
        <v>43906</v>
      </c>
      <c r="F141" s="39">
        <v>44089</v>
      </c>
      <c r="G141" s="41">
        <f>IF('Variables y Resumen'!$B$3=360,DAYS360(E141,F141),F141-E141)</f>
        <v>183</v>
      </c>
      <c r="H141" s="48">
        <f>IF('Variables y Resumen'!$B$11="SI",C141*D141%/MID($H$15,8,3)*G141,0)</f>
        <v>115344.18019534528</v>
      </c>
      <c r="I141" s="90"/>
      <c r="J141" s="90"/>
      <c r="K141" s="90"/>
    </row>
    <row r="142" spans="1:14" ht="20.100000000000001" customHeight="1" x14ac:dyDescent="0.2">
      <c r="A142" s="10" t="s">
        <v>30</v>
      </c>
      <c r="B142" s="10" t="s">
        <v>28</v>
      </c>
      <c r="C142" s="9">
        <f>E126</f>
        <v>224841.84117070341</v>
      </c>
      <c r="D142" s="73">
        <f>D141</f>
        <v>6.5</v>
      </c>
      <c r="E142" s="39">
        <v>43906</v>
      </c>
      <c r="F142" s="39">
        <v>44089</v>
      </c>
      <c r="G142" s="41">
        <f>IF('Variables y Resumen'!$B$3=360,DAYS360(E142,F142),F142-E142)</f>
        <v>183</v>
      </c>
      <c r="H142" s="48">
        <f>IF('Variables y Resumen'!$B$11="SI",C142*D142%/MID($H$15,8,3)*G142,0)</f>
        <v>7429.1491686819918</v>
      </c>
      <c r="I142" s="90"/>
      <c r="J142" s="90"/>
      <c r="K142" s="90"/>
    </row>
    <row r="143" spans="1:14" ht="20.100000000000001" customHeight="1" x14ac:dyDescent="0.2">
      <c r="A143" s="10" t="s">
        <v>29</v>
      </c>
      <c r="B143" s="10" t="s">
        <v>28</v>
      </c>
      <c r="C143" s="9">
        <f>B126</f>
        <v>9230768.4000000004</v>
      </c>
      <c r="D143" s="73">
        <f>MIN('Variables y Resumen'!$B$7,'Variables y Resumen'!$B$12-D135)</f>
        <v>1.9414999999999996</v>
      </c>
      <c r="E143" s="39">
        <v>43906</v>
      </c>
      <c r="F143" s="39">
        <v>44089</v>
      </c>
      <c r="G143" s="41">
        <f>IF('Variables y Resumen'!$B$3=360,DAYS360(E143,F143),F143-E143)</f>
        <v>183</v>
      </c>
      <c r="H143" s="48">
        <f t="shared" ref="H143" si="10">C143*D143%/MID($H$15,8,3)*G143</f>
        <v>91101.145647049983</v>
      </c>
      <c r="I143" s="90"/>
      <c r="J143" s="90"/>
      <c r="K143" s="90"/>
    </row>
    <row r="144" spans="1:14" ht="20.100000000000001" customHeight="1" x14ac:dyDescent="0.2">
      <c r="A144" s="10" t="s">
        <v>31</v>
      </c>
      <c r="B144" s="10" t="s">
        <v>28</v>
      </c>
      <c r="C144" s="9">
        <v>30000</v>
      </c>
      <c r="D144" s="73">
        <f>D142</f>
        <v>6.5</v>
      </c>
      <c r="E144" s="39">
        <v>43906</v>
      </c>
      <c r="F144" s="39">
        <v>44089</v>
      </c>
      <c r="G144" s="41">
        <f>IF('Variables y Resumen'!$B$3=360,DAYS360(E144,F144),F144-E144)</f>
        <v>183</v>
      </c>
      <c r="H144" s="48">
        <f>IF('Variables y Resumen'!$B$10="SI",C144*D144%/MID($H$15,8,3)*G144,0)</f>
        <v>991.25</v>
      </c>
      <c r="I144" s="90"/>
      <c r="J144" s="90"/>
      <c r="K144" s="90"/>
    </row>
    <row r="145" spans="1:11" ht="20.100000000000001" customHeight="1" x14ac:dyDescent="0.2">
      <c r="A145" s="8" t="s">
        <v>1</v>
      </c>
      <c r="B145" s="8" t="s">
        <v>2</v>
      </c>
      <c r="C145" s="8" t="s">
        <v>2</v>
      </c>
      <c r="D145" s="8" t="s">
        <v>2</v>
      </c>
      <c r="E145" s="7" t="s">
        <v>2</v>
      </c>
      <c r="F145" s="7" t="s">
        <v>2</v>
      </c>
      <c r="G145" s="7" t="s">
        <v>2</v>
      </c>
      <c r="H145" s="49">
        <f>SUM(H141:H144)</f>
        <v>214865.72501107724</v>
      </c>
      <c r="I145" s="91"/>
      <c r="J145" s="91"/>
      <c r="K145" s="91"/>
    </row>
    <row r="146" spans="1:11" ht="20.100000000000001" customHeight="1" x14ac:dyDescent="0.2"/>
    <row r="147" spans="1:11" ht="20.100000000000001" customHeight="1" x14ac:dyDescent="0.2"/>
    <row r="148" spans="1:11" ht="20.100000000000001" customHeight="1" x14ac:dyDescent="0.2">
      <c r="A148" s="174" t="s">
        <v>33</v>
      </c>
      <c r="B148" s="175"/>
      <c r="C148" s="175"/>
    </row>
    <row r="149" spans="1:11" ht="20.100000000000001" customHeight="1" x14ac:dyDescent="0.2">
      <c r="A149" s="7" t="s">
        <v>23</v>
      </c>
      <c r="B149" s="7" t="s">
        <v>36</v>
      </c>
      <c r="C149" s="7" t="s">
        <v>110</v>
      </c>
      <c r="D149" s="7" t="s">
        <v>38</v>
      </c>
    </row>
    <row r="150" spans="1:11" ht="20.100000000000001" customHeight="1" x14ac:dyDescent="0.2">
      <c r="A150" s="10" t="s">
        <v>60</v>
      </c>
      <c r="B150" s="9">
        <v>0</v>
      </c>
      <c r="C150" s="48">
        <f>IF('Variables y Resumen'!$B$9="SI",106507.48,0)</f>
        <v>106507.48</v>
      </c>
      <c r="D150" s="9">
        <f>SUM(B150:C150)</f>
        <v>106507.48</v>
      </c>
    </row>
    <row r="151" spans="1:11" ht="20.100000000000001" customHeight="1" x14ac:dyDescent="0.2">
      <c r="A151" s="10" t="s">
        <v>32</v>
      </c>
      <c r="B151" s="9">
        <f>D120</f>
        <v>30000</v>
      </c>
      <c r="C151" s="48">
        <f>IF('Variables y Resumen'!$B$9="SI",0,0)</f>
        <v>0</v>
      </c>
      <c r="D151" s="9">
        <f>SUM(B151:C151)</f>
        <v>30000</v>
      </c>
    </row>
    <row r="152" spans="1:11" ht="20.100000000000001" customHeight="1" x14ac:dyDescent="0.2">
      <c r="A152" s="10" t="s">
        <v>82</v>
      </c>
      <c r="B152" s="9">
        <f>SUM(B150:B151)</f>
        <v>30000</v>
      </c>
      <c r="C152" s="9">
        <f>SUM(C150:C151)</f>
        <v>106507.48</v>
      </c>
      <c r="D152" s="9">
        <f>D150+D151</f>
        <v>136507.47999999998</v>
      </c>
    </row>
    <row r="153" spans="1:11" ht="20.100000000000001" customHeight="1" x14ac:dyDescent="0.2"/>
    <row r="154" spans="1:11" ht="20.100000000000001" customHeight="1" x14ac:dyDescent="0.2"/>
    <row r="155" spans="1:11" ht="20.100000000000001" customHeight="1" x14ac:dyDescent="0.2">
      <c r="A155" s="34">
        <f>B123</f>
        <v>44089</v>
      </c>
      <c r="B155" s="34">
        <v>44231</v>
      </c>
      <c r="C155" s="5"/>
      <c r="D155" s="5"/>
      <c r="E155" s="5"/>
      <c r="F155" s="5"/>
      <c r="G155" s="28"/>
      <c r="H155" s="45"/>
      <c r="I155" s="45"/>
      <c r="J155" s="45"/>
      <c r="K155" s="45"/>
    </row>
    <row r="156" spans="1:11" ht="20.100000000000001" customHeight="1" x14ac:dyDescent="0.2">
      <c r="A156" s="176" t="s">
        <v>34</v>
      </c>
      <c r="B156" s="175"/>
      <c r="C156" s="175"/>
      <c r="D156" s="175"/>
      <c r="E156" s="175"/>
      <c r="F156" s="175"/>
    </row>
    <row r="157" spans="1:11" ht="27.75" customHeight="1" x14ac:dyDescent="0.2">
      <c r="A157" s="7" t="s">
        <v>23</v>
      </c>
      <c r="B157" s="7" t="s">
        <v>16</v>
      </c>
      <c r="C157" s="7" t="s">
        <v>17</v>
      </c>
      <c r="D157" s="7" t="s">
        <v>19</v>
      </c>
      <c r="E157" s="7" t="s">
        <v>63</v>
      </c>
      <c r="F157" s="7" t="s">
        <v>1</v>
      </c>
    </row>
    <row r="158" spans="1:11" ht="20.100000000000001" customHeight="1" x14ac:dyDescent="0.2">
      <c r="A158" s="8" t="s">
        <v>36</v>
      </c>
      <c r="B158" s="9">
        <f>B128</f>
        <v>11538460.5</v>
      </c>
      <c r="C158" s="9">
        <f>C128</f>
        <v>4132567.0662103114</v>
      </c>
      <c r="D158" s="9">
        <f>D128</f>
        <v>136507.47999999998</v>
      </c>
      <c r="E158" s="9">
        <f>E128</f>
        <v>439707.56618178065</v>
      </c>
      <c r="F158" s="9">
        <f>SUM(B158:E158)</f>
        <v>16247242.612392092</v>
      </c>
    </row>
    <row r="159" spans="1:11" ht="20.100000000000001" customHeight="1" x14ac:dyDescent="0.2">
      <c r="A159" s="8" t="s">
        <v>110</v>
      </c>
      <c r="B159" s="18">
        <v>16153847.4</v>
      </c>
      <c r="C159" s="9">
        <f>H168</f>
        <v>463998.65732614364</v>
      </c>
      <c r="D159" s="9">
        <f>C184</f>
        <v>0</v>
      </c>
      <c r="E159" s="9">
        <f>H177</f>
        <v>207070.72310404354</v>
      </c>
      <c r="F159" s="9">
        <f>SUM(B159:E159)</f>
        <v>16824916.780430187</v>
      </c>
    </row>
    <row r="160" spans="1:11" ht="20.100000000000001" customHeight="1" x14ac:dyDescent="0.2">
      <c r="A160" s="8" t="s">
        <v>38</v>
      </c>
      <c r="B160" s="9">
        <f t="shared" ref="B160" si="11">SUM(B158:B159)</f>
        <v>27692307.899999999</v>
      </c>
      <c r="C160" s="9">
        <f t="shared" ref="C160" si="12">SUM(C158:C159)</f>
        <v>4596565.7235364551</v>
      </c>
      <c r="D160" s="9">
        <f t="shared" ref="D160" si="13">SUM(D158:D159)</f>
        <v>136507.47999999998</v>
      </c>
      <c r="E160" s="9">
        <f t="shared" ref="E160" si="14">SUM(E158:E159)</f>
        <v>646778.28928582417</v>
      </c>
      <c r="F160" s="9">
        <f t="shared" ref="F160" si="15">SUM(F158:F159)</f>
        <v>33072159.392822281</v>
      </c>
    </row>
    <row r="161" spans="1:14" ht="20.100000000000001" customHeight="1" x14ac:dyDescent="0.2"/>
    <row r="162" spans="1:14" ht="20.100000000000001" customHeight="1" x14ac:dyDescent="0.2"/>
    <row r="163" spans="1:14" ht="20.100000000000001" customHeight="1" x14ac:dyDescent="0.2"/>
    <row r="164" spans="1:14" ht="20.100000000000001" customHeight="1" x14ac:dyDescent="0.2">
      <c r="A164" s="174" t="s">
        <v>24</v>
      </c>
      <c r="B164" s="175"/>
      <c r="C164" s="175"/>
    </row>
    <row r="165" spans="1:14" ht="24.95" customHeight="1" x14ac:dyDescent="0.2">
      <c r="A165" s="7" t="s">
        <v>23</v>
      </c>
      <c r="B165" s="7" t="s">
        <v>27</v>
      </c>
      <c r="C165" s="7" t="s">
        <v>26</v>
      </c>
      <c r="D165" s="7" t="s">
        <v>25</v>
      </c>
      <c r="E165" s="7" t="s">
        <v>21</v>
      </c>
      <c r="F165" s="7" t="s">
        <v>22</v>
      </c>
      <c r="G165" s="7" t="str">
        <f>G139</f>
        <v>Días (365)</v>
      </c>
      <c r="H165" s="7" t="str">
        <f>H139</f>
        <v>Monto (360)</v>
      </c>
      <c r="I165" s="177" t="s">
        <v>139</v>
      </c>
      <c r="J165" s="177"/>
      <c r="K165" s="177"/>
      <c r="L165" s="177"/>
      <c r="M165" s="177"/>
      <c r="N165" s="177"/>
    </row>
    <row r="166" spans="1:14" ht="20.100000000000001" customHeight="1" x14ac:dyDescent="0.2">
      <c r="A166" s="8" t="s">
        <v>17</v>
      </c>
      <c r="B166" s="8"/>
      <c r="C166" s="8"/>
      <c r="D166" s="8"/>
      <c r="E166" s="8"/>
      <c r="F166" s="8"/>
      <c r="G166" s="7"/>
      <c r="H166" s="47"/>
      <c r="I166" s="7" t="s">
        <v>141</v>
      </c>
      <c r="J166" s="7" t="s">
        <v>142</v>
      </c>
      <c r="K166" s="7" t="s">
        <v>135</v>
      </c>
      <c r="L166" s="35" t="s">
        <v>136</v>
      </c>
      <c r="M166" s="35" t="s">
        <v>134</v>
      </c>
      <c r="N166" s="36" t="s">
        <v>137</v>
      </c>
    </row>
    <row r="167" spans="1:14" ht="20.100000000000001" customHeight="1" x14ac:dyDescent="0.2">
      <c r="A167" s="10" t="s">
        <v>13</v>
      </c>
      <c r="B167" s="10" t="s">
        <v>8</v>
      </c>
      <c r="C167" s="9">
        <v>27692307.899999999</v>
      </c>
      <c r="D167" s="73">
        <f>MIN('Variables y Resumen'!$B$12,MIN('Variables y Resumen'!$B$5,$I$3)+N167 )</f>
        <v>4.2478749999999996</v>
      </c>
      <c r="E167" s="12">
        <v>44089</v>
      </c>
      <c r="F167" s="19">
        <f>B155</f>
        <v>44231</v>
      </c>
      <c r="G167" s="41">
        <f>IF('Variables y Resumen'!$B$3=360,DAYS360(E167,F167),F167-E167)</f>
        <v>142</v>
      </c>
      <c r="H167" s="48">
        <f t="shared" ref="H167" si="16">C167*D167%/MID($H$15,8,3)*G167</f>
        <v>463998.65732614364</v>
      </c>
      <c r="I167" s="96">
        <f>VLOOKUP(A155,Tabla_Libor,8,0)</f>
        <v>0.27324999999999999</v>
      </c>
      <c r="J167" s="96">
        <f>VLOOKUP(B155,Tabla_Libor,8,0)</f>
        <v>0.2225</v>
      </c>
      <c r="K167" s="96">
        <f>(I167+J167)/2</f>
        <v>0.24787500000000001</v>
      </c>
      <c r="L167" s="97">
        <v>0.28200000000000003</v>
      </c>
      <c r="M167" s="51">
        <f>MIN(I167:L167)</f>
        <v>0.2225</v>
      </c>
      <c r="N167" s="37">
        <f>HLOOKUP(Selección_Libor,I166:M167,2,0)</f>
        <v>0.24787500000000001</v>
      </c>
    </row>
    <row r="168" spans="1:14" ht="20.100000000000001" customHeight="1" x14ac:dyDescent="0.2">
      <c r="A168" s="8" t="s">
        <v>1</v>
      </c>
      <c r="B168" s="8" t="s">
        <v>2</v>
      </c>
      <c r="C168" s="13"/>
      <c r="D168" s="8" t="s">
        <v>2</v>
      </c>
      <c r="E168" s="8" t="s">
        <v>2</v>
      </c>
      <c r="F168" s="8" t="s">
        <v>2</v>
      </c>
      <c r="G168" s="7" t="s">
        <v>2</v>
      </c>
      <c r="H168" s="49">
        <f>SUM(H167:H167)</f>
        <v>463998.65732614364</v>
      </c>
      <c r="I168" s="91"/>
      <c r="J168" s="91"/>
      <c r="K168" s="91"/>
    </row>
    <row r="169" spans="1:14" ht="20.100000000000001" customHeight="1" x14ac:dyDescent="0.2"/>
    <row r="170" spans="1:14" ht="20.100000000000001" customHeight="1" x14ac:dyDescent="0.2"/>
    <row r="171" spans="1:14" ht="20.100000000000001" customHeight="1" x14ac:dyDescent="0.2">
      <c r="A171" s="7" t="s">
        <v>23</v>
      </c>
      <c r="B171" s="7" t="s">
        <v>27</v>
      </c>
      <c r="C171" s="7" t="s">
        <v>26</v>
      </c>
      <c r="D171" s="7" t="s">
        <v>25</v>
      </c>
      <c r="E171" s="7" t="s">
        <v>21</v>
      </c>
      <c r="F171" s="7" t="s">
        <v>22</v>
      </c>
      <c r="G171" s="7" t="str">
        <f>G165</f>
        <v>Días (365)</v>
      </c>
      <c r="H171" s="47" t="str">
        <f>H165</f>
        <v>Monto (360)</v>
      </c>
      <c r="I171" s="93"/>
      <c r="J171" s="93"/>
      <c r="K171" s="93"/>
    </row>
    <row r="172" spans="1:14" ht="20.100000000000001" customHeight="1" x14ac:dyDescent="0.2">
      <c r="A172" s="8" t="s">
        <v>20</v>
      </c>
      <c r="B172" s="8"/>
      <c r="C172" s="8"/>
      <c r="D172" s="8"/>
      <c r="E172" s="8"/>
      <c r="F172" s="8"/>
      <c r="G172" s="7"/>
      <c r="H172" s="47"/>
      <c r="I172" s="93"/>
      <c r="J172" s="93"/>
      <c r="K172" s="93"/>
    </row>
    <row r="173" spans="1:14" ht="20.100000000000001" customHeight="1" x14ac:dyDescent="0.2">
      <c r="A173" s="10" t="s">
        <v>30</v>
      </c>
      <c r="B173" s="10" t="s">
        <v>28</v>
      </c>
      <c r="C173" s="9">
        <f>C158</f>
        <v>4132567.0662103114</v>
      </c>
      <c r="D173" s="73">
        <f>MIN(D167+'Variables y Resumen'!$B$7,'Variables y Resumen'!$B$12)</f>
        <v>6.2478749999999996</v>
      </c>
      <c r="E173" s="12">
        <f>E167</f>
        <v>44089</v>
      </c>
      <c r="F173" s="12">
        <f>F167</f>
        <v>44231</v>
      </c>
      <c r="G173" s="41">
        <f>IF('Variables y Resumen'!$B$3=360,DAYS360(E173,F173),F173-E173)</f>
        <v>142</v>
      </c>
      <c r="H173" s="48">
        <f>IF('Variables y Resumen'!$B$11="SI",C173*D173%/MID($H$15,8,3)*G173,0)</f>
        <v>101844.61858748396</v>
      </c>
      <c r="I173" s="90"/>
      <c r="J173" s="90"/>
      <c r="K173" s="90"/>
    </row>
    <row r="174" spans="1:14" ht="20.100000000000001" customHeight="1" x14ac:dyDescent="0.2">
      <c r="A174" s="10" t="s">
        <v>30</v>
      </c>
      <c r="B174" s="10" t="s">
        <v>28</v>
      </c>
      <c r="C174" s="9">
        <f>E158</f>
        <v>439707.56618178065</v>
      </c>
      <c r="D174" s="73">
        <f>D173</f>
        <v>6.2478749999999996</v>
      </c>
      <c r="E174" s="12">
        <f>E167</f>
        <v>44089</v>
      </c>
      <c r="F174" s="12">
        <f>F167</f>
        <v>44231</v>
      </c>
      <c r="G174" s="41">
        <f>IF('Variables y Resumen'!$B$3=360,DAYS360(E174,F174),F174-E174)</f>
        <v>142</v>
      </c>
      <c r="H174" s="48">
        <f>IF('Variables y Resumen'!$B$11="SI",C174*D174%/MID($H$15,8,3)*G174,0)</f>
        <v>10836.327311895417</v>
      </c>
      <c r="I174" s="90"/>
      <c r="J174" s="90"/>
      <c r="K174" s="90"/>
    </row>
    <row r="175" spans="1:14" ht="20.100000000000001" customHeight="1" x14ac:dyDescent="0.2">
      <c r="A175" s="10" t="s">
        <v>29</v>
      </c>
      <c r="B175" s="10" t="s">
        <v>28</v>
      </c>
      <c r="C175" s="9">
        <f>B158</f>
        <v>11538460.5</v>
      </c>
      <c r="D175" s="73">
        <f>MIN('Variables y Resumen'!$B$7,'Variables y Resumen'!$B$12-D167)</f>
        <v>2</v>
      </c>
      <c r="E175" s="12">
        <f>E167</f>
        <v>44089</v>
      </c>
      <c r="F175" s="12">
        <f>F167</f>
        <v>44231</v>
      </c>
      <c r="G175" s="41">
        <f>IF('Variables y Resumen'!$B$3=360,DAYS360(E175,F175),F175-E175)</f>
        <v>142</v>
      </c>
      <c r="H175" s="48">
        <f t="shared" ref="H175" si="17">C175*D175%/MID($H$15,8,3)*G175</f>
        <v>91025.632833333337</v>
      </c>
      <c r="I175" s="90"/>
      <c r="J175" s="90"/>
      <c r="K175" s="90"/>
    </row>
    <row r="176" spans="1:14" ht="20.100000000000001" customHeight="1" x14ac:dyDescent="0.2">
      <c r="A176" s="10" t="s">
        <v>31</v>
      </c>
      <c r="B176" s="10" t="s">
        <v>28</v>
      </c>
      <c r="C176" s="9">
        <f>D158</f>
        <v>136507.47999999998</v>
      </c>
      <c r="D176" s="73">
        <f>D174</f>
        <v>6.2478749999999996</v>
      </c>
      <c r="E176" s="12">
        <f>E167</f>
        <v>44089</v>
      </c>
      <c r="F176" s="12">
        <f>F167</f>
        <v>44231</v>
      </c>
      <c r="G176" s="41">
        <f>IF('Variables y Resumen'!$B$3=360,DAYS360(E176,F176),F176-E176)</f>
        <v>142</v>
      </c>
      <c r="H176" s="48">
        <f>IF('Variables y Resumen'!$B$10="SI",C176*D176%/MID($H$15,8,3)*G176,0)</f>
        <v>3364.1443713308322</v>
      </c>
      <c r="I176" s="90"/>
      <c r="J176" s="90"/>
      <c r="K176" s="90"/>
    </row>
    <row r="177" spans="1:11" ht="20.100000000000001" customHeight="1" x14ac:dyDescent="0.2">
      <c r="A177" s="8" t="s">
        <v>1</v>
      </c>
      <c r="B177" s="8" t="s">
        <v>2</v>
      </c>
      <c r="C177" s="8" t="s">
        <v>2</v>
      </c>
      <c r="D177" s="8" t="s">
        <v>2</v>
      </c>
      <c r="E177" s="8" t="s">
        <v>2</v>
      </c>
      <c r="F177" s="8" t="s">
        <v>2</v>
      </c>
      <c r="G177" s="7" t="s">
        <v>2</v>
      </c>
      <c r="H177" s="49">
        <f>SUM(H173:H176)</f>
        <v>207070.72310404354</v>
      </c>
      <c r="I177" s="91"/>
      <c r="J177" s="91"/>
      <c r="K177" s="91"/>
    </row>
    <row r="178" spans="1:11" ht="20.100000000000001" customHeight="1" x14ac:dyDescent="0.2"/>
    <row r="179" spans="1:11" ht="20.100000000000001" customHeight="1" x14ac:dyDescent="0.2"/>
    <row r="180" spans="1:11" ht="20.100000000000001" customHeight="1" x14ac:dyDescent="0.2">
      <c r="A180" s="174" t="s">
        <v>33</v>
      </c>
      <c r="B180" s="175"/>
      <c r="C180" s="175"/>
    </row>
    <row r="181" spans="1:11" ht="20.100000000000001" customHeight="1" x14ac:dyDescent="0.2">
      <c r="A181" s="7" t="s">
        <v>23</v>
      </c>
      <c r="B181" s="7" t="s">
        <v>36</v>
      </c>
      <c r="C181" s="7" t="s">
        <v>110</v>
      </c>
      <c r="D181" s="7" t="s">
        <v>38</v>
      </c>
    </row>
    <row r="182" spans="1:11" ht="20.100000000000001" customHeight="1" x14ac:dyDescent="0.2">
      <c r="A182" s="10" t="s">
        <v>60</v>
      </c>
      <c r="B182" s="9">
        <f>D150</f>
        <v>106507.48</v>
      </c>
      <c r="C182" s="48">
        <f>IF('Variables y Resumen'!$B$9="SI",0,0)</f>
        <v>0</v>
      </c>
      <c r="D182" s="9">
        <f t="shared" ref="D182:D183" si="18">SUM(B182:C182)</f>
        <v>106507.48</v>
      </c>
    </row>
    <row r="183" spans="1:11" ht="20.100000000000001" customHeight="1" x14ac:dyDescent="0.2">
      <c r="A183" s="10" t="s">
        <v>32</v>
      </c>
      <c r="B183" s="9">
        <f>D151</f>
        <v>30000</v>
      </c>
      <c r="C183" s="48">
        <f>IF('Variables y Resumen'!$B$9="SI",0,0)</f>
        <v>0</v>
      </c>
      <c r="D183" s="9">
        <f t="shared" si="18"/>
        <v>30000</v>
      </c>
    </row>
    <row r="184" spans="1:11" ht="20.100000000000001" customHeight="1" x14ac:dyDescent="0.2">
      <c r="A184" s="10" t="s">
        <v>82</v>
      </c>
      <c r="B184" s="9">
        <f>SUM(B182:B183)</f>
        <v>136507.47999999998</v>
      </c>
      <c r="C184" s="9">
        <f>SUM(C182:C183)</f>
        <v>0</v>
      </c>
      <c r="D184" s="9">
        <f>D182+D183</f>
        <v>136507.47999999998</v>
      </c>
    </row>
    <row r="185" spans="1:11" ht="20.100000000000001" customHeight="1" x14ac:dyDescent="0.2"/>
    <row r="186" spans="1:11" ht="20.100000000000001" customHeight="1" x14ac:dyDescent="0.2">
      <c r="A186" s="34">
        <f>B155</f>
        <v>44231</v>
      </c>
      <c r="B186" s="34">
        <v>44270</v>
      </c>
      <c r="C186" s="5"/>
      <c r="D186" s="5"/>
      <c r="E186" s="5"/>
      <c r="F186" s="5"/>
      <c r="G186" s="28"/>
      <c r="H186" s="45"/>
      <c r="I186" s="45"/>
      <c r="J186" s="45"/>
      <c r="K186" s="45"/>
    </row>
    <row r="187" spans="1:11" ht="20.100000000000001" customHeight="1" x14ac:dyDescent="0.2">
      <c r="A187" s="176" t="s">
        <v>34</v>
      </c>
      <c r="B187" s="175"/>
      <c r="C187" s="175"/>
      <c r="D187" s="175"/>
      <c r="E187" s="175"/>
      <c r="F187" s="175"/>
    </row>
    <row r="188" spans="1:11" ht="24.95" customHeight="1" x14ac:dyDescent="0.2">
      <c r="A188" s="7" t="s">
        <v>23</v>
      </c>
      <c r="B188" s="7" t="s">
        <v>16</v>
      </c>
      <c r="C188" s="7" t="s">
        <v>17</v>
      </c>
      <c r="D188" s="7" t="s">
        <v>19</v>
      </c>
      <c r="E188" s="7" t="s">
        <v>63</v>
      </c>
      <c r="F188" s="7" t="s">
        <v>1</v>
      </c>
    </row>
    <row r="189" spans="1:11" ht="20.100000000000001" customHeight="1" x14ac:dyDescent="0.2">
      <c r="A189" s="8" t="s">
        <v>36</v>
      </c>
      <c r="B189" s="9">
        <f>B160</f>
        <v>27692307.899999999</v>
      </c>
      <c r="C189" s="9">
        <f>C160</f>
        <v>4596565.7235364551</v>
      </c>
      <c r="D189" s="9">
        <f>D160</f>
        <v>136507.47999999998</v>
      </c>
      <c r="E189" s="9">
        <f>E160</f>
        <v>646778.28928582417</v>
      </c>
      <c r="F189" s="9">
        <f>SUM(B189:E189)</f>
        <v>33072159.392822277</v>
      </c>
    </row>
    <row r="190" spans="1:11" ht="20.100000000000001" customHeight="1" x14ac:dyDescent="0.2">
      <c r="A190" s="8" t="s">
        <v>110</v>
      </c>
      <c r="B190" s="9">
        <v>0</v>
      </c>
      <c r="C190" s="9">
        <f>H199</f>
        <v>126300.00094725</v>
      </c>
      <c r="D190" s="9">
        <f>C215</f>
        <v>15000</v>
      </c>
      <c r="E190" s="9">
        <f>H208</f>
        <v>96192.951367961869</v>
      </c>
      <c r="F190" s="9">
        <f>SUM(B190:E190)</f>
        <v>237492.95231521188</v>
      </c>
    </row>
    <row r="191" spans="1:11" ht="20.100000000000001" customHeight="1" x14ac:dyDescent="0.2">
      <c r="A191" s="8" t="s">
        <v>38</v>
      </c>
      <c r="B191" s="9">
        <f t="shared" ref="B191:F191" si="19">SUM(B189:B190)</f>
        <v>27692307.899999999</v>
      </c>
      <c r="C191" s="9">
        <f t="shared" si="19"/>
        <v>4722865.7244837051</v>
      </c>
      <c r="D191" s="9">
        <f t="shared" si="19"/>
        <v>151507.47999999998</v>
      </c>
      <c r="E191" s="9">
        <f t="shared" si="19"/>
        <v>742971.24065378599</v>
      </c>
      <c r="F191" s="9">
        <f t="shared" si="19"/>
        <v>33309652.345137488</v>
      </c>
    </row>
    <row r="192" spans="1:11" ht="20.100000000000001" customHeight="1" x14ac:dyDescent="0.2"/>
    <row r="193" spans="1:14" ht="20.100000000000001" customHeight="1" x14ac:dyDescent="0.2"/>
    <row r="194" spans="1:14" ht="20.100000000000001" customHeight="1" x14ac:dyDescent="0.2"/>
    <row r="195" spans="1:14" ht="20.100000000000001" customHeight="1" x14ac:dyDescent="0.2">
      <c r="A195" s="174" t="s">
        <v>24</v>
      </c>
      <c r="B195" s="175"/>
      <c r="C195" s="175"/>
    </row>
    <row r="196" spans="1:14" ht="20.100000000000001" customHeight="1" x14ac:dyDescent="0.2">
      <c r="A196" s="7" t="s">
        <v>23</v>
      </c>
      <c r="B196" s="7" t="s">
        <v>27</v>
      </c>
      <c r="C196" s="7" t="s">
        <v>26</v>
      </c>
      <c r="D196" s="7" t="s">
        <v>25</v>
      </c>
      <c r="E196" s="7" t="s">
        <v>21</v>
      </c>
      <c r="F196" s="7" t="s">
        <v>22</v>
      </c>
      <c r="G196" s="7" t="str">
        <f>G171</f>
        <v>Días (365)</v>
      </c>
      <c r="H196" s="7" t="str">
        <f>H171</f>
        <v>Monto (360)</v>
      </c>
      <c r="I196" s="177" t="s">
        <v>139</v>
      </c>
      <c r="J196" s="177"/>
      <c r="K196" s="177"/>
      <c r="L196" s="177"/>
      <c r="M196" s="177"/>
      <c r="N196" s="177"/>
    </row>
    <row r="197" spans="1:14" ht="20.100000000000001" customHeight="1" x14ac:dyDescent="0.2">
      <c r="A197" s="8" t="s">
        <v>17</v>
      </c>
      <c r="B197" s="8"/>
      <c r="C197" s="8"/>
      <c r="D197" s="8"/>
      <c r="E197" s="8"/>
      <c r="F197" s="8"/>
      <c r="G197" s="7"/>
      <c r="H197" s="47"/>
      <c r="I197" s="7" t="s">
        <v>141</v>
      </c>
      <c r="J197" s="7" t="s">
        <v>142</v>
      </c>
      <c r="K197" s="7" t="s">
        <v>135</v>
      </c>
      <c r="L197" s="35" t="s">
        <v>136</v>
      </c>
      <c r="M197" s="35" t="s">
        <v>134</v>
      </c>
      <c r="N197" s="36" t="s">
        <v>137</v>
      </c>
    </row>
    <row r="198" spans="1:14" ht="20.100000000000001" customHeight="1" x14ac:dyDescent="0.2">
      <c r="A198" s="10" t="s">
        <v>18</v>
      </c>
      <c r="B198" s="10" t="s">
        <v>8</v>
      </c>
      <c r="C198" s="9">
        <v>27692307.899999999</v>
      </c>
      <c r="D198" s="73">
        <f>MIN('Variables y Resumen'!$B$12,MIN('Variables y Resumen'!$B$5,$I$3)+N198 )</f>
        <v>4.21</v>
      </c>
      <c r="E198" s="12">
        <f>A186</f>
        <v>44231</v>
      </c>
      <c r="F198" s="12">
        <f>B186</f>
        <v>44270</v>
      </c>
      <c r="G198" s="41">
        <f>IF('Variables y Resumen'!$B$3=360,DAYS360(E198,F198),F198-E198)</f>
        <v>39</v>
      </c>
      <c r="H198" s="48">
        <f t="shared" ref="H198" si="20">C198*D198%/MID($H$15,8,3)*G198</f>
        <v>126300.00094725</v>
      </c>
      <c r="I198" s="96">
        <f>VLOOKUP(A186,Tabla_Libor,8,0)</f>
        <v>0.2225</v>
      </c>
      <c r="J198" s="96">
        <f>VLOOKUP(B186,Tabla_Libor,8,0)</f>
        <v>0.19750000000000001</v>
      </c>
      <c r="K198" s="96">
        <f>(I198+J198)/2</f>
        <v>0.21000000000000002</v>
      </c>
      <c r="L198" s="97">
        <v>0.28200000000000003</v>
      </c>
      <c r="M198" s="51">
        <f>MIN(I198:L198)</f>
        <v>0.19750000000000001</v>
      </c>
      <c r="N198" s="37">
        <f>HLOOKUP(Selección_Libor,I197:M198,2,0)</f>
        <v>0.21000000000000002</v>
      </c>
    </row>
    <row r="199" spans="1:14" ht="20.100000000000001" customHeight="1" x14ac:dyDescent="0.2">
      <c r="A199" s="8" t="s">
        <v>1</v>
      </c>
      <c r="B199" s="8" t="s">
        <v>2</v>
      </c>
      <c r="C199" s="13"/>
      <c r="D199" s="8" t="s">
        <v>2</v>
      </c>
      <c r="E199" s="8" t="s">
        <v>2</v>
      </c>
      <c r="F199" s="8" t="s">
        <v>2</v>
      </c>
      <c r="G199" s="7" t="s">
        <v>2</v>
      </c>
      <c r="H199" s="49">
        <f>SUM(H198:H198)</f>
        <v>126300.00094725</v>
      </c>
      <c r="I199" s="91"/>
      <c r="J199" s="91"/>
      <c r="K199" s="91"/>
    </row>
    <row r="200" spans="1:14" ht="20.100000000000001" customHeight="1" x14ac:dyDescent="0.2"/>
    <row r="201" spans="1:14" ht="20.100000000000001" customHeight="1" x14ac:dyDescent="0.2"/>
    <row r="202" spans="1:14" ht="24.95" customHeight="1" x14ac:dyDescent="0.2">
      <c r="A202" s="7" t="s">
        <v>23</v>
      </c>
      <c r="B202" s="7" t="s">
        <v>27</v>
      </c>
      <c r="C202" s="7" t="s">
        <v>26</v>
      </c>
      <c r="D202" s="7" t="s">
        <v>25</v>
      </c>
      <c r="E202" s="7" t="s">
        <v>21</v>
      </c>
      <c r="F202" s="7" t="s">
        <v>22</v>
      </c>
      <c r="G202" s="7" t="str">
        <f>G196</f>
        <v>Días (365)</v>
      </c>
      <c r="H202" s="7" t="str">
        <f>H196</f>
        <v>Monto (360)</v>
      </c>
      <c r="I202" s="92"/>
      <c r="J202" s="92"/>
      <c r="K202" s="92"/>
    </row>
    <row r="203" spans="1:14" ht="20.100000000000001" customHeight="1" x14ac:dyDescent="0.2">
      <c r="A203" s="8" t="s">
        <v>20</v>
      </c>
      <c r="B203" s="8"/>
      <c r="C203" s="8"/>
      <c r="D203" s="8"/>
      <c r="E203" s="8"/>
      <c r="F203" s="8"/>
      <c r="G203" s="7"/>
      <c r="H203" s="47"/>
      <c r="I203" s="93"/>
      <c r="J203" s="93"/>
      <c r="K203" s="93"/>
    </row>
    <row r="204" spans="1:14" ht="20.100000000000001" customHeight="1" x14ac:dyDescent="0.2">
      <c r="A204" s="10" t="s">
        <v>30</v>
      </c>
      <c r="B204" s="10" t="s">
        <v>28</v>
      </c>
      <c r="C204" s="9">
        <f>C189</f>
        <v>4596565.7235364551</v>
      </c>
      <c r="D204" s="73">
        <f>MIN(D198+'Variables y Resumen'!$B$7,'Variables y Resumen'!$B$12)</f>
        <v>6.21</v>
      </c>
      <c r="E204" s="12">
        <f>E198</f>
        <v>44231</v>
      </c>
      <c r="F204" s="12">
        <f>F198</f>
        <v>44270</v>
      </c>
      <c r="G204" s="41">
        <f>IF('Variables y Resumen'!$B$3=360,DAYS360(E204,F204),F204-E204)</f>
        <v>39</v>
      </c>
      <c r="H204" s="48">
        <f>IF('Variables y Resumen'!$B$11="SI",C204*D204%/MID($H$15,8,3)*G204,0)</f>
        <v>30923.3959050915</v>
      </c>
      <c r="I204" s="90"/>
      <c r="J204" s="90"/>
      <c r="K204" s="90"/>
    </row>
    <row r="205" spans="1:14" ht="20.100000000000001" customHeight="1" x14ac:dyDescent="0.2">
      <c r="A205" s="10" t="s">
        <v>30</v>
      </c>
      <c r="B205" s="10" t="s">
        <v>28</v>
      </c>
      <c r="C205" s="9">
        <f>E189</f>
        <v>646778.28928582417</v>
      </c>
      <c r="D205" s="73">
        <f>D204</f>
        <v>6.21</v>
      </c>
      <c r="E205" s="12">
        <f>E198</f>
        <v>44231</v>
      </c>
      <c r="F205" s="12">
        <f>F198</f>
        <v>44270</v>
      </c>
      <c r="G205" s="41">
        <f>IF('Variables y Resumen'!$B$3=360,DAYS360(E205,F205),F205-E205)</f>
        <v>39</v>
      </c>
      <c r="H205" s="48">
        <f>IF('Variables y Resumen'!$B$11="SI",C205*D205%/MID($H$15,8,3)*G205,0)</f>
        <v>4351.200941170383</v>
      </c>
      <c r="I205" s="90"/>
      <c r="J205" s="90"/>
      <c r="K205" s="90"/>
    </row>
    <row r="206" spans="1:14" ht="20.100000000000001" customHeight="1" x14ac:dyDescent="0.2">
      <c r="A206" s="10" t="s">
        <v>29</v>
      </c>
      <c r="B206" s="10" t="s">
        <v>28</v>
      </c>
      <c r="C206" s="9">
        <f>B189</f>
        <v>27692307.899999999</v>
      </c>
      <c r="D206" s="73">
        <f>MIN('Variables y Resumen'!$B$7,'Variables y Resumen'!$B$12-D198)</f>
        <v>2</v>
      </c>
      <c r="E206" s="12">
        <f>E198</f>
        <v>44231</v>
      </c>
      <c r="F206" s="12">
        <f>F198</f>
        <v>44270</v>
      </c>
      <c r="G206" s="41">
        <f>IF('Variables y Resumen'!$B$3=360,DAYS360(E206,F206),F206-E206)</f>
        <v>39</v>
      </c>
      <c r="H206" s="48">
        <f t="shared" ref="H206" si="21">C206*D206%/MID($H$15,8,3)*G206</f>
        <v>60000.000449999992</v>
      </c>
      <c r="I206" s="90"/>
      <c r="J206" s="90"/>
      <c r="K206" s="90"/>
    </row>
    <row r="207" spans="1:14" ht="20.100000000000001" customHeight="1" x14ac:dyDescent="0.2">
      <c r="A207" s="10" t="s">
        <v>31</v>
      </c>
      <c r="B207" s="10" t="s">
        <v>28</v>
      </c>
      <c r="C207" s="9">
        <f>D189</f>
        <v>136507.47999999998</v>
      </c>
      <c r="D207" s="73">
        <f>D205</f>
        <v>6.21</v>
      </c>
      <c r="E207" s="12">
        <f>E198</f>
        <v>44231</v>
      </c>
      <c r="F207" s="12">
        <f>F198</f>
        <v>44270</v>
      </c>
      <c r="G207" s="41">
        <f>IF('Variables y Resumen'!$B$3=360,DAYS360(E207,F207),F207-E207)</f>
        <v>39</v>
      </c>
      <c r="H207" s="48">
        <f>IF('Variables y Resumen'!$B$10="SI",C207*D207%/MID($H$15,8,3)*G207,0)</f>
        <v>918.35407169999996</v>
      </c>
      <c r="I207" s="90"/>
      <c r="J207" s="90"/>
      <c r="K207" s="90"/>
    </row>
    <row r="208" spans="1:14" ht="20.100000000000001" customHeight="1" x14ac:dyDescent="0.2">
      <c r="A208" s="8" t="s">
        <v>1</v>
      </c>
      <c r="B208" s="8" t="s">
        <v>2</v>
      </c>
      <c r="C208" s="8" t="s">
        <v>2</v>
      </c>
      <c r="D208" s="8" t="s">
        <v>2</v>
      </c>
      <c r="E208" s="8" t="s">
        <v>2</v>
      </c>
      <c r="F208" s="8" t="s">
        <v>2</v>
      </c>
      <c r="G208" s="7" t="s">
        <v>2</v>
      </c>
      <c r="H208" s="49">
        <f>SUM(H204:H207)</f>
        <v>96192.951367961869</v>
      </c>
      <c r="I208" s="91"/>
      <c r="J208" s="91"/>
      <c r="K208" s="91"/>
    </row>
    <row r="209" spans="1:11" ht="20.100000000000001" customHeight="1" x14ac:dyDescent="0.2"/>
    <row r="210" spans="1:11" ht="20.100000000000001" customHeight="1" x14ac:dyDescent="0.2"/>
    <row r="211" spans="1:11" ht="20.100000000000001" customHeight="1" x14ac:dyDescent="0.2">
      <c r="A211" s="174" t="s">
        <v>33</v>
      </c>
      <c r="B211" s="175"/>
      <c r="C211" s="175"/>
    </row>
    <row r="212" spans="1:11" ht="20.100000000000001" customHeight="1" x14ac:dyDescent="0.2">
      <c r="A212" s="7" t="s">
        <v>23</v>
      </c>
      <c r="B212" s="7" t="s">
        <v>36</v>
      </c>
      <c r="C212" s="7" t="s">
        <v>110</v>
      </c>
      <c r="D212" s="7" t="s">
        <v>38</v>
      </c>
    </row>
    <row r="213" spans="1:11" ht="20.100000000000001" customHeight="1" x14ac:dyDescent="0.2">
      <c r="A213" s="10" t="s">
        <v>60</v>
      </c>
      <c r="B213" s="9">
        <f>D182</f>
        <v>106507.48</v>
      </c>
      <c r="C213" s="48">
        <f>IF('Variables y Resumen'!$B$9="SI",0,0)</f>
        <v>0</v>
      </c>
      <c r="D213" s="9">
        <f t="shared" ref="D213" si="22">SUM(B213:C213)</f>
        <v>106507.48</v>
      </c>
    </row>
    <row r="214" spans="1:11" ht="20.100000000000001" customHeight="1" x14ac:dyDescent="0.2">
      <c r="A214" s="10" t="s">
        <v>32</v>
      </c>
      <c r="B214" s="9">
        <f>D183</f>
        <v>30000</v>
      </c>
      <c r="C214" s="48">
        <f>IF('Variables y Resumen'!$B$9="SI",15000,0)</f>
        <v>15000</v>
      </c>
      <c r="D214" s="9">
        <f t="shared" ref="D214" si="23">SUM(B214:C214)</f>
        <v>45000</v>
      </c>
    </row>
    <row r="215" spans="1:11" ht="20.100000000000001" customHeight="1" x14ac:dyDescent="0.2">
      <c r="A215" s="10" t="s">
        <v>82</v>
      </c>
      <c r="B215" s="9">
        <f>SUM(B213:B214)</f>
        <v>136507.47999999998</v>
      </c>
      <c r="C215" s="9">
        <f>SUM(C213:C214)</f>
        <v>15000</v>
      </c>
      <c r="D215" s="9">
        <f>D213+D214</f>
        <v>151507.47999999998</v>
      </c>
    </row>
    <row r="216" spans="1:11" ht="20.100000000000001" customHeight="1" x14ac:dyDescent="0.2"/>
    <row r="217" spans="1:11" ht="20.100000000000001" customHeight="1" x14ac:dyDescent="0.2"/>
    <row r="218" spans="1:11" ht="20.100000000000001" customHeight="1" x14ac:dyDescent="0.2"/>
    <row r="219" spans="1:11" ht="20.100000000000001" customHeight="1" x14ac:dyDescent="0.2">
      <c r="A219" s="34">
        <f>B186</f>
        <v>44270</v>
      </c>
      <c r="B219" s="34">
        <f>MIN(A219+184,'Variables y Resumen'!$B$8)</f>
        <v>44441</v>
      </c>
      <c r="C219" s="5"/>
      <c r="D219" s="5"/>
      <c r="E219" s="5"/>
      <c r="F219" s="5"/>
      <c r="G219" s="28"/>
      <c r="H219" s="45"/>
      <c r="I219" s="45"/>
      <c r="J219" s="45"/>
      <c r="K219" s="45"/>
    </row>
    <row r="220" spans="1:11" ht="20.100000000000001" customHeight="1" x14ac:dyDescent="0.2">
      <c r="A220" s="176" t="s">
        <v>34</v>
      </c>
      <c r="B220" s="175"/>
      <c r="C220" s="175"/>
      <c r="D220" s="175"/>
      <c r="E220" s="175"/>
      <c r="F220" s="175"/>
    </row>
    <row r="221" spans="1:11" ht="26.25" customHeight="1" x14ac:dyDescent="0.2">
      <c r="A221" s="7" t="s">
        <v>23</v>
      </c>
      <c r="B221" s="7" t="s">
        <v>16</v>
      </c>
      <c r="C221" s="7" t="s">
        <v>17</v>
      </c>
      <c r="D221" s="7" t="s">
        <v>19</v>
      </c>
      <c r="E221" s="7" t="s">
        <v>63</v>
      </c>
      <c r="F221" s="7" t="s">
        <v>1</v>
      </c>
    </row>
    <row r="222" spans="1:11" ht="20.100000000000001" customHeight="1" x14ac:dyDescent="0.2">
      <c r="A222" s="8" t="s">
        <v>36</v>
      </c>
      <c r="B222" s="9">
        <f>B191</f>
        <v>27692307.899999999</v>
      </c>
      <c r="C222" s="9">
        <f>C191</f>
        <v>4722865.7244837051</v>
      </c>
      <c r="D222" s="9">
        <f>D191</f>
        <v>151507.47999999998</v>
      </c>
      <c r="E222" s="9">
        <f>E191</f>
        <v>742971.24065378599</v>
      </c>
      <c r="F222" s="9">
        <f>SUM(B222:E222)</f>
        <v>33309652.345137492</v>
      </c>
    </row>
    <row r="223" spans="1:11" ht="20.100000000000001" customHeight="1" x14ac:dyDescent="0.2">
      <c r="A223" s="8" t="s">
        <v>110</v>
      </c>
      <c r="B223" s="9">
        <v>0</v>
      </c>
      <c r="C223" s="9">
        <f>H232</f>
        <v>548852.78488562652</v>
      </c>
      <c r="D223" s="9">
        <f>C248</f>
        <v>0</v>
      </c>
      <c r="E223" s="9">
        <f>H241</f>
        <v>427775.68769625045</v>
      </c>
      <c r="F223" s="9">
        <f>SUM(B223:E223)</f>
        <v>976628.47258187691</v>
      </c>
    </row>
    <row r="224" spans="1:11" ht="20.100000000000001" customHeight="1" x14ac:dyDescent="0.2">
      <c r="A224" s="8" t="s">
        <v>38</v>
      </c>
      <c r="B224" s="9">
        <f t="shared" ref="B224:F224" si="24">SUM(B222:B223)</f>
        <v>27692307.899999999</v>
      </c>
      <c r="C224" s="9">
        <f t="shared" si="24"/>
        <v>5271718.5093693314</v>
      </c>
      <c r="D224" s="9">
        <f t="shared" si="24"/>
        <v>151507.47999999998</v>
      </c>
      <c r="E224" s="9">
        <f t="shared" si="24"/>
        <v>1170746.9283500365</v>
      </c>
      <c r="F224" s="9">
        <f t="shared" si="24"/>
        <v>34286280.81771937</v>
      </c>
    </row>
    <row r="225" spans="1:14" ht="20.100000000000001" customHeight="1" x14ac:dyDescent="0.2"/>
    <row r="226" spans="1:14" ht="20.100000000000001" customHeight="1" x14ac:dyDescent="0.2"/>
    <row r="227" spans="1:14" ht="20.100000000000001" customHeight="1" x14ac:dyDescent="0.2"/>
    <row r="228" spans="1:14" ht="20.100000000000001" customHeight="1" x14ac:dyDescent="0.2">
      <c r="A228" s="174" t="s">
        <v>24</v>
      </c>
      <c r="B228" s="175"/>
      <c r="C228" s="175"/>
    </row>
    <row r="229" spans="1:14" ht="24.95" customHeight="1" x14ac:dyDescent="0.2">
      <c r="A229" s="7" t="s">
        <v>23</v>
      </c>
      <c r="B229" s="7" t="s">
        <v>27</v>
      </c>
      <c r="C229" s="7" t="s">
        <v>26</v>
      </c>
      <c r="D229" s="7" t="s">
        <v>25</v>
      </c>
      <c r="E229" s="7" t="s">
        <v>21</v>
      </c>
      <c r="F229" s="7" t="s">
        <v>22</v>
      </c>
      <c r="G229" s="7" t="str">
        <f>G202</f>
        <v>Días (365)</v>
      </c>
      <c r="H229" s="47" t="str">
        <f>H202</f>
        <v>Monto (360)</v>
      </c>
      <c r="I229" s="177" t="s">
        <v>139</v>
      </c>
      <c r="J229" s="177"/>
      <c r="K229" s="177"/>
      <c r="L229" s="177"/>
      <c r="M229" s="177"/>
      <c r="N229" s="177"/>
    </row>
    <row r="230" spans="1:14" ht="20.100000000000001" customHeight="1" x14ac:dyDescent="0.2">
      <c r="A230" s="8" t="s">
        <v>17</v>
      </c>
      <c r="B230" s="8"/>
      <c r="C230" s="8"/>
      <c r="D230" s="8"/>
      <c r="E230" s="8"/>
      <c r="F230" s="8"/>
      <c r="G230" s="7"/>
      <c r="H230" s="47"/>
      <c r="I230" s="7" t="s">
        <v>141</v>
      </c>
      <c r="J230" s="7" t="s">
        <v>142</v>
      </c>
      <c r="K230" s="7" t="s">
        <v>135</v>
      </c>
      <c r="L230" s="35" t="s">
        <v>136</v>
      </c>
      <c r="M230" s="35" t="s">
        <v>134</v>
      </c>
      <c r="N230" s="36" t="s">
        <v>137</v>
      </c>
    </row>
    <row r="231" spans="1:14" ht="20.100000000000001" customHeight="1" x14ac:dyDescent="0.2">
      <c r="A231" s="10" t="s">
        <v>18</v>
      </c>
      <c r="B231" s="10" t="s">
        <v>8</v>
      </c>
      <c r="C231" s="9">
        <v>27692307.899999999</v>
      </c>
      <c r="D231" s="73">
        <f>MIN('Variables y Resumen'!$B$12,MIN('Variables y Resumen'!$B$5,$I$3)+N231 )</f>
        <v>4.1725649999999996</v>
      </c>
      <c r="E231" s="12">
        <f>A219</f>
        <v>44270</v>
      </c>
      <c r="F231" s="12">
        <f>B219</f>
        <v>44441</v>
      </c>
      <c r="G231" s="41">
        <f>IF('Variables y Resumen'!$B$3=360,DAYS360(E231,F231),F231-E231)</f>
        <v>171</v>
      </c>
      <c r="H231" s="48">
        <f t="shared" ref="H231" si="25">C231*D231%/MID($H$15,8,3)*G231</f>
        <v>548852.78488562652</v>
      </c>
      <c r="I231" s="96">
        <f>VLOOKUP(A219,Tabla_Libor,8,0)</f>
        <v>0.19750000000000001</v>
      </c>
      <c r="J231" s="96">
        <f>VLOOKUP(B219,Tabla_Libor,8,0)</f>
        <v>0.14763000000000001</v>
      </c>
      <c r="K231" s="96">
        <f>(I231+J231)/2</f>
        <v>0.17256500000000002</v>
      </c>
      <c r="L231" s="97">
        <v>0.19299999999999962</v>
      </c>
      <c r="M231" s="51">
        <f>MIN(I231:L231)</f>
        <v>0.14763000000000001</v>
      </c>
      <c r="N231" s="37">
        <f>HLOOKUP(Selección_Libor,I230:M231,2,0)</f>
        <v>0.17256500000000002</v>
      </c>
    </row>
    <row r="232" spans="1:14" ht="20.100000000000001" customHeight="1" x14ac:dyDescent="0.2">
      <c r="A232" s="8" t="s">
        <v>1</v>
      </c>
      <c r="B232" s="8" t="s">
        <v>2</v>
      </c>
      <c r="C232" s="13"/>
      <c r="D232" s="8" t="s">
        <v>2</v>
      </c>
      <c r="E232" s="8" t="s">
        <v>2</v>
      </c>
      <c r="F232" s="8" t="s">
        <v>2</v>
      </c>
      <c r="G232" s="7" t="s">
        <v>2</v>
      </c>
      <c r="H232" s="49">
        <f>SUM(H231:H231)</f>
        <v>548852.78488562652</v>
      </c>
      <c r="I232" s="91"/>
      <c r="J232" s="91"/>
      <c r="K232" s="91"/>
    </row>
    <row r="233" spans="1:14" ht="20.100000000000001" customHeight="1" x14ac:dyDescent="0.2"/>
    <row r="234" spans="1:14" ht="20.100000000000001" customHeight="1" x14ac:dyDescent="0.2"/>
    <row r="235" spans="1:14" ht="20.100000000000001" customHeight="1" x14ac:dyDescent="0.2">
      <c r="A235" s="7" t="s">
        <v>23</v>
      </c>
      <c r="B235" s="7" t="s">
        <v>27</v>
      </c>
      <c r="C235" s="7" t="s">
        <v>26</v>
      </c>
      <c r="D235" s="7" t="s">
        <v>25</v>
      </c>
      <c r="E235" s="7" t="s">
        <v>21</v>
      </c>
      <c r="F235" s="7" t="s">
        <v>22</v>
      </c>
      <c r="G235" s="7" t="str">
        <f>G229</f>
        <v>Días (365)</v>
      </c>
      <c r="H235" s="47" t="str">
        <f>H229</f>
        <v>Monto (360)</v>
      </c>
      <c r="I235" s="93"/>
      <c r="J235" s="93"/>
      <c r="K235" s="93"/>
    </row>
    <row r="236" spans="1:14" ht="20.100000000000001" customHeight="1" x14ac:dyDescent="0.2">
      <c r="A236" s="8" t="s">
        <v>20</v>
      </c>
      <c r="B236" s="8"/>
      <c r="C236" s="8"/>
      <c r="D236" s="8"/>
      <c r="E236" s="8"/>
      <c r="F236" s="8"/>
      <c r="G236" s="7"/>
      <c r="H236" s="47"/>
      <c r="I236" s="93"/>
      <c r="J236" s="93"/>
      <c r="K236" s="93"/>
    </row>
    <row r="237" spans="1:14" ht="20.100000000000001" customHeight="1" x14ac:dyDescent="0.2">
      <c r="A237" s="10" t="s">
        <v>30</v>
      </c>
      <c r="B237" s="10" t="s">
        <v>28</v>
      </c>
      <c r="C237" s="9">
        <f>C222</f>
        <v>4722865.7244837051</v>
      </c>
      <c r="D237" s="73">
        <f>MIN(D231+'Variables y Resumen'!$B$7,'Variables y Resumen'!$B$12)</f>
        <v>6.1725649999999996</v>
      </c>
      <c r="E237" s="12">
        <f>E231</f>
        <v>44270</v>
      </c>
      <c r="F237" s="12">
        <f>F231</f>
        <v>44441</v>
      </c>
      <c r="G237" s="41">
        <f>IF('Variables y Resumen'!$B$3=360,DAYS360(E237,F237),F237-E237)</f>
        <v>171</v>
      </c>
      <c r="H237" s="48">
        <f>IF('Variables y Resumen'!$B$11="SI",C237*D237%/MID($H$15,8,3)*G237,0)</f>
        <v>138472.92943557687</v>
      </c>
      <c r="I237" s="90"/>
      <c r="J237" s="90"/>
      <c r="K237" s="90"/>
    </row>
    <row r="238" spans="1:14" ht="20.100000000000001" customHeight="1" x14ac:dyDescent="0.2">
      <c r="A238" s="10" t="s">
        <v>30</v>
      </c>
      <c r="B238" s="10" t="s">
        <v>28</v>
      </c>
      <c r="C238" s="9">
        <f>E222</f>
        <v>742971.24065378599</v>
      </c>
      <c r="D238" s="73">
        <f>D237</f>
        <v>6.1725649999999996</v>
      </c>
      <c r="E238" s="12">
        <f>E231</f>
        <v>44270</v>
      </c>
      <c r="F238" s="12">
        <f>F231</f>
        <v>44441</v>
      </c>
      <c r="G238" s="41">
        <f>IF('Variables y Resumen'!$B$3=360,DAYS360(E238,F238),F238-E238)</f>
        <v>171</v>
      </c>
      <c r="H238" s="48">
        <f>IF('Variables y Resumen'!$B$11="SI",C238*D238%/MID($H$15,8,3)*G238,0)</f>
        <v>21783.681811314149</v>
      </c>
      <c r="I238" s="90"/>
      <c r="J238" s="90"/>
      <c r="K238" s="90"/>
    </row>
    <row r="239" spans="1:14" ht="20.100000000000001" customHeight="1" x14ac:dyDescent="0.2">
      <c r="A239" s="10" t="s">
        <v>29</v>
      </c>
      <c r="B239" s="10" t="s">
        <v>28</v>
      </c>
      <c r="C239" s="9">
        <f>B222</f>
        <v>27692307.899999999</v>
      </c>
      <c r="D239" s="73">
        <f>MIN('Variables y Resumen'!$B$7,'Variables y Resumen'!$B$12-D231)</f>
        <v>2</v>
      </c>
      <c r="E239" s="12">
        <f>E231</f>
        <v>44270</v>
      </c>
      <c r="F239" s="12">
        <f>F231</f>
        <v>44441</v>
      </c>
      <c r="G239" s="41">
        <f>IF('Variables y Resumen'!$B$3=360,DAYS360(E239,F239),F239-E239)</f>
        <v>171</v>
      </c>
      <c r="H239" s="48">
        <f t="shared" ref="H239" si="26">C239*D239%/MID($H$15,8,3)*G239</f>
        <v>263076.92504999996</v>
      </c>
      <c r="I239" s="90"/>
      <c r="J239" s="90"/>
      <c r="K239" s="90"/>
    </row>
    <row r="240" spans="1:14" ht="20.100000000000001" customHeight="1" x14ac:dyDescent="0.2">
      <c r="A240" s="10" t="s">
        <v>31</v>
      </c>
      <c r="B240" s="10" t="s">
        <v>28</v>
      </c>
      <c r="C240" s="9">
        <f>D222</f>
        <v>151507.47999999998</v>
      </c>
      <c r="D240" s="73">
        <f>D238</f>
        <v>6.1725649999999996</v>
      </c>
      <c r="E240" s="12">
        <f>E231</f>
        <v>44270</v>
      </c>
      <c r="F240" s="12">
        <f>F231</f>
        <v>44441</v>
      </c>
      <c r="G240" s="41">
        <f>IF('Variables y Resumen'!$B$3=360,DAYS360(E240,F240),F240-E240)</f>
        <v>171</v>
      </c>
      <c r="H240" s="48">
        <f>IF('Variables y Resumen'!$B$10="SI",C240*D240%/MID($H$15,8,3)*G240,0)</f>
        <v>4442.151399359449</v>
      </c>
      <c r="I240" s="90"/>
      <c r="J240" s="90"/>
      <c r="K240" s="90"/>
    </row>
    <row r="241" spans="1:11" ht="20.100000000000001" customHeight="1" x14ac:dyDescent="0.2">
      <c r="A241" s="8" t="s">
        <v>1</v>
      </c>
      <c r="B241" s="8" t="s">
        <v>2</v>
      </c>
      <c r="C241" s="8" t="s">
        <v>2</v>
      </c>
      <c r="D241" s="8" t="s">
        <v>2</v>
      </c>
      <c r="E241" s="8" t="s">
        <v>2</v>
      </c>
      <c r="F241" s="8" t="s">
        <v>2</v>
      </c>
      <c r="G241" s="7" t="s">
        <v>2</v>
      </c>
      <c r="H241" s="49">
        <f>SUM(H237:H240)</f>
        <v>427775.68769625045</v>
      </c>
      <c r="I241" s="91"/>
      <c r="J241" s="91"/>
      <c r="K241" s="91"/>
    </row>
    <row r="242" spans="1:11" ht="20.100000000000001" customHeight="1" x14ac:dyDescent="0.2"/>
    <row r="243" spans="1:11" ht="20.100000000000001" customHeight="1" x14ac:dyDescent="0.2"/>
    <row r="244" spans="1:11" ht="20.100000000000001" customHeight="1" x14ac:dyDescent="0.2">
      <c r="A244" s="174" t="s">
        <v>33</v>
      </c>
      <c r="B244" s="175"/>
      <c r="C244" s="175"/>
    </row>
    <row r="245" spans="1:11" ht="20.100000000000001" customHeight="1" x14ac:dyDescent="0.2">
      <c r="A245" s="7" t="s">
        <v>23</v>
      </c>
      <c r="B245" s="7" t="s">
        <v>36</v>
      </c>
      <c r="C245" s="7" t="s">
        <v>110</v>
      </c>
      <c r="D245" s="7" t="s">
        <v>38</v>
      </c>
    </row>
    <row r="246" spans="1:11" ht="20.100000000000001" customHeight="1" x14ac:dyDescent="0.2">
      <c r="A246" s="10" t="s">
        <v>60</v>
      </c>
      <c r="B246" s="9">
        <f>D213</f>
        <v>106507.48</v>
      </c>
      <c r="C246" s="48">
        <f>IF('Variables y Resumen'!$B$9="SI",0,0)</f>
        <v>0</v>
      </c>
      <c r="D246" s="9">
        <f t="shared" ref="D246:D247" si="27">SUM(B246:C246)</f>
        <v>106507.48</v>
      </c>
    </row>
    <row r="247" spans="1:11" ht="20.100000000000001" customHeight="1" x14ac:dyDescent="0.2">
      <c r="A247" s="10" t="s">
        <v>32</v>
      </c>
      <c r="B247" s="9">
        <f>D214</f>
        <v>45000</v>
      </c>
      <c r="C247" s="48">
        <f>IF('Variables y Resumen'!$B$9="SI",0,0)</f>
        <v>0</v>
      </c>
      <c r="D247" s="9">
        <f t="shared" si="27"/>
        <v>45000</v>
      </c>
    </row>
    <row r="248" spans="1:11" ht="20.100000000000001" customHeight="1" x14ac:dyDescent="0.2">
      <c r="A248" s="10" t="s">
        <v>82</v>
      </c>
      <c r="B248" s="9">
        <f>SUM(B246:B247)</f>
        <v>151507.47999999998</v>
      </c>
      <c r="C248" s="9">
        <f>SUM(C246:C247)</f>
        <v>0</v>
      </c>
      <c r="D248" s="9">
        <f>D246+D247</f>
        <v>151507.47999999998</v>
      </c>
    </row>
    <row r="249" spans="1:11" ht="20.100000000000001" customHeight="1" x14ac:dyDescent="0.2"/>
    <row r="250" spans="1:11" ht="20.100000000000001" customHeight="1" x14ac:dyDescent="0.2"/>
    <row r="251" spans="1:11" ht="20.100000000000001" customHeight="1" x14ac:dyDescent="0.2">
      <c r="A251" s="34">
        <f>B219</f>
        <v>44441</v>
      </c>
      <c r="B251" s="70">
        <f>'Variables y Resumen'!$B$8</f>
        <v>44441</v>
      </c>
      <c r="C251" s="5"/>
      <c r="D251" s="5"/>
      <c r="E251" s="5"/>
      <c r="F251" s="5"/>
      <c r="G251" s="28"/>
      <c r="H251" s="45"/>
      <c r="I251" s="45"/>
      <c r="J251" s="45"/>
      <c r="K251" s="45"/>
    </row>
    <row r="252" spans="1:11" ht="20.100000000000001" customHeight="1" x14ac:dyDescent="0.2">
      <c r="A252" s="176" t="s">
        <v>34</v>
      </c>
      <c r="B252" s="175"/>
      <c r="C252" s="175"/>
      <c r="D252" s="175"/>
      <c r="E252" s="175"/>
      <c r="F252" s="175"/>
    </row>
    <row r="253" spans="1:11" ht="24.95" customHeight="1" x14ac:dyDescent="0.2">
      <c r="A253" s="7" t="s">
        <v>23</v>
      </c>
      <c r="B253" s="7" t="s">
        <v>16</v>
      </c>
      <c r="C253" s="7" t="s">
        <v>17</v>
      </c>
      <c r="D253" s="7" t="s">
        <v>19</v>
      </c>
      <c r="E253" s="7" t="s">
        <v>63</v>
      </c>
      <c r="F253" s="7" t="s">
        <v>1</v>
      </c>
    </row>
    <row r="254" spans="1:11" ht="20.100000000000001" customHeight="1" x14ac:dyDescent="0.2">
      <c r="A254" s="8" t="s">
        <v>36</v>
      </c>
      <c r="B254" s="9">
        <f>B224</f>
        <v>27692307.899999999</v>
      </c>
      <c r="C254" s="9">
        <f>C224</f>
        <v>5271718.5093693314</v>
      </c>
      <c r="D254" s="9">
        <f>D248</f>
        <v>151507.47999999998</v>
      </c>
      <c r="E254" s="9">
        <f>E224</f>
        <v>1170746.9283500365</v>
      </c>
      <c r="F254" s="9">
        <f>SUM(B254:E254)</f>
        <v>34286280.81771937</v>
      </c>
    </row>
    <row r="255" spans="1:11" ht="20.100000000000001" customHeight="1" x14ac:dyDescent="0.2">
      <c r="A255" s="8" t="s">
        <v>110</v>
      </c>
      <c r="B255" s="9">
        <v>0</v>
      </c>
      <c r="C255" s="9">
        <f>H264</f>
        <v>0</v>
      </c>
      <c r="D255" s="9">
        <f>C280</f>
        <v>0</v>
      </c>
      <c r="E255" s="9">
        <f>H273</f>
        <v>0</v>
      </c>
      <c r="F255" s="9">
        <f>SUM(B255:E255)</f>
        <v>0</v>
      </c>
    </row>
    <row r="256" spans="1:11" ht="20.100000000000001" customHeight="1" x14ac:dyDescent="0.2">
      <c r="A256" s="8" t="s">
        <v>38</v>
      </c>
      <c r="B256" s="9">
        <f t="shared" ref="B256:F256" si="28">SUM(B254:B255)</f>
        <v>27692307.899999999</v>
      </c>
      <c r="C256" s="9">
        <f t="shared" si="28"/>
        <v>5271718.5093693314</v>
      </c>
      <c r="D256" s="9">
        <f t="shared" si="28"/>
        <v>151507.47999999998</v>
      </c>
      <c r="E256" s="9">
        <f t="shared" si="28"/>
        <v>1170746.9283500365</v>
      </c>
      <c r="F256" s="9">
        <f t="shared" si="28"/>
        <v>34286280.81771937</v>
      </c>
    </row>
    <row r="257" spans="1:14" ht="20.100000000000001" customHeight="1" x14ac:dyDescent="0.2"/>
    <row r="258" spans="1:14" ht="20.100000000000001" customHeight="1" x14ac:dyDescent="0.2"/>
    <row r="259" spans="1:14" ht="20.100000000000001" customHeight="1" x14ac:dyDescent="0.2"/>
    <row r="260" spans="1:14" ht="20.100000000000001" customHeight="1" x14ac:dyDescent="0.2">
      <c r="A260" s="174" t="s">
        <v>24</v>
      </c>
      <c r="B260" s="175"/>
      <c r="C260" s="175"/>
    </row>
    <row r="261" spans="1:14" ht="24.95" customHeight="1" x14ac:dyDescent="0.2">
      <c r="A261" s="7" t="s">
        <v>23</v>
      </c>
      <c r="B261" s="7" t="s">
        <v>27</v>
      </c>
      <c r="C261" s="7" t="s">
        <v>26</v>
      </c>
      <c r="D261" s="7" t="s">
        <v>25</v>
      </c>
      <c r="E261" s="7" t="s">
        <v>21</v>
      </c>
      <c r="F261" s="7" t="s">
        <v>22</v>
      </c>
      <c r="G261" s="7" t="str">
        <f>G235</f>
        <v>Días (365)</v>
      </c>
      <c r="H261" s="47" t="str">
        <f>H235</f>
        <v>Monto (360)</v>
      </c>
      <c r="I261" s="177" t="s">
        <v>152</v>
      </c>
      <c r="J261" s="177"/>
      <c r="K261" s="177"/>
      <c r="L261" s="177"/>
      <c r="M261" s="177"/>
      <c r="N261" s="177"/>
    </row>
    <row r="262" spans="1:14" ht="20.100000000000001" customHeight="1" x14ac:dyDescent="0.2">
      <c r="A262" s="8" t="s">
        <v>17</v>
      </c>
      <c r="B262" s="8"/>
      <c r="C262" s="8"/>
      <c r="D262" s="8"/>
      <c r="E262" s="8"/>
      <c r="F262" s="8"/>
      <c r="G262" s="7"/>
      <c r="H262" s="47"/>
      <c r="I262" s="7" t="s">
        <v>141</v>
      </c>
      <c r="J262" s="7" t="s">
        <v>142</v>
      </c>
      <c r="K262" s="7" t="s">
        <v>135</v>
      </c>
      <c r="L262" s="35" t="s">
        <v>136</v>
      </c>
      <c r="M262" s="35" t="s">
        <v>134</v>
      </c>
      <c r="N262" s="36" t="s">
        <v>137</v>
      </c>
    </row>
    <row r="263" spans="1:14" ht="20.100000000000001" customHeight="1" x14ac:dyDescent="0.2">
      <c r="A263" s="10" t="s">
        <v>18</v>
      </c>
      <c r="B263" s="10" t="s">
        <v>8</v>
      </c>
      <c r="C263" s="9">
        <v>27692307.899999999</v>
      </c>
      <c r="D263" s="73">
        <f>MIN('Variables y Resumen'!$B$12,MIN('Variables y Resumen'!$B$5,$I$3)+N263 )</f>
        <v>4.1476300000000004</v>
      </c>
      <c r="E263" s="12">
        <f>A251</f>
        <v>44441</v>
      </c>
      <c r="F263" s="12">
        <f>B251</f>
        <v>44441</v>
      </c>
      <c r="G263" s="41">
        <f>IF('Variables y Resumen'!$B$3=360,DAYS360(E263,F263),F263-E263)</f>
        <v>0</v>
      </c>
      <c r="H263" s="48">
        <f t="shared" ref="H263" si="29">C263*D263%/MID($H$15,8,3)*G263</f>
        <v>0</v>
      </c>
      <c r="I263" s="96">
        <f>VLOOKUP(A251,Tabla_Libor,8,0)</f>
        <v>0.14763000000000001</v>
      </c>
      <c r="J263" s="96">
        <f>VLOOKUP(B251,Tabla_Libor,8,0)</f>
        <v>0.14763000000000001</v>
      </c>
      <c r="K263" s="96">
        <f>(I263+J263)/2</f>
        <v>0.14763000000000001</v>
      </c>
      <c r="L263" s="97">
        <v>0.14900000000000002</v>
      </c>
      <c r="M263" s="51">
        <f>MIN(I263:L263)</f>
        <v>0.14763000000000001</v>
      </c>
      <c r="N263" s="37">
        <f>HLOOKUP(Selección_Libor,I262:M263,2,0)</f>
        <v>0.14763000000000001</v>
      </c>
    </row>
    <row r="264" spans="1:14" ht="20.100000000000001" customHeight="1" x14ac:dyDescent="0.2">
      <c r="A264" s="8" t="s">
        <v>1</v>
      </c>
      <c r="B264" s="8" t="s">
        <v>2</v>
      </c>
      <c r="C264" s="13"/>
      <c r="D264" s="8" t="s">
        <v>2</v>
      </c>
      <c r="E264" s="8" t="s">
        <v>2</v>
      </c>
      <c r="F264" s="8" t="s">
        <v>2</v>
      </c>
      <c r="G264" s="7" t="s">
        <v>2</v>
      </c>
      <c r="H264" s="49">
        <f>SUM(H263:H263)</f>
        <v>0</v>
      </c>
      <c r="I264" s="91"/>
      <c r="J264" s="91"/>
      <c r="K264" s="91"/>
    </row>
    <row r="265" spans="1:14" ht="20.100000000000001" customHeight="1" x14ac:dyDescent="0.2"/>
    <row r="266" spans="1:14" ht="20.100000000000001" customHeight="1" x14ac:dyDescent="0.2"/>
    <row r="267" spans="1:14" ht="24.95" customHeight="1" x14ac:dyDescent="0.2">
      <c r="A267" s="7" t="s">
        <v>23</v>
      </c>
      <c r="B267" s="7" t="s">
        <v>27</v>
      </c>
      <c r="C267" s="7" t="s">
        <v>26</v>
      </c>
      <c r="D267" s="7" t="s">
        <v>25</v>
      </c>
      <c r="E267" s="7" t="s">
        <v>21</v>
      </c>
      <c r="F267" s="7" t="s">
        <v>22</v>
      </c>
      <c r="G267" s="7" t="str">
        <f>G261</f>
        <v>Días (365)</v>
      </c>
      <c r="H267" s="47" t="str">
        <f>H261</f>
        <v>Monto (360)</v>
      </c>
      <c r="I267" s="93"/>
      <c r="J267" s="93"/>
      <c r="K267" s="93"/>
    </row>
    <row r="268" spans="1:14" ht="20.100000000000001" customHeight="1" x14ac:dyDescent="0.2">
      <c r="A268" s="8" t="s">
        <v>20</v>
      </c>
      <c r="B268" s="8"/>
      <c r="C268" s="8"/>
      <c r="D268" s="8"/>
      <c r="E268" s="8"/>
      <c r="F268" s="8"/>
      <c r="G268" s="7"/>
      <c r="H268" s="47"/>
      <c r="I268" s="93"/>
      <c r="J268" s="93"/>
      <c r="K268" s="93"/>
    </row>
    <row r="269" spans="1:14" ht="20.100000000000001" customHeight="1" x14ac:dyDescent="0.2">
      <c r="A269" s="10" t="s">
        <v>30</v>
      </c>
      <c r="B269" s="10" t="s">
        <v>28</v>
      </c>
      <c r="C269" s="9">
        <f>C254</f>
        <v>5271718.5093693314</v>
      </c>
      <c r="D269" s="73">
        <f>MIN(D263+'Variables y Resumen'!$B$7,'Variables y Resumen'!$B$12)</f>
        <v>6.1476300000000004</v>
      </c>
      <c r="E269" s="12">
        <f>E263</f>
        <v>44441</v>
      </c>
      <c r="F269" s="12">
        <f>F263</f>
        <v>44441</v>
      </c>
      <c r="G269" s="41">
        <f>IF('Variables y Resumen'!$B$3=360,DAYS360(E269,F269),F269-E269)</f>
        <v>0</v>
      </c>
      <c r="H269" s="48">
        <f>IF('Variables y Resumen'!$B$11="SI",C269*D269%/MID($H$15,8,3)*G269,0)</f>
        <v>0</v>
      </c>
      <c r="I269" s="90"/>
      <c r="J269" s="90"/>
      <c r="K269" s="90"/>
    </row>
    <row r="270" spans="1:14" ht="20.100000000000001" customHeight="1" x14ac:dyDescent="0.2">
      <c r="A270" s="10" t="s">
        <v>30</v>
      </c>
      <c r="B270" s="10" t="s">
        <v>28</v>
      </c>
      <c r="C270" s="9">
        <f>E254</f>
        <v>1170746.9283500365</v>
      </c>
      <c r="D270" s="73">
        <f>D269</f>
        <v>6.1476300000000004</v>
      </c>
      <c r="E270" s="12">
        <f>E263</f>
        <v>44441</v>
      </c>
      <c r="F270" s="12">
        <f>F263</f>
        <v>44441</v>
      </c>
      <c r="G270" s="41">
        <f>IF('Variables y Resumen'!$B$3=360,DAYS360(E270,F270),F270-E270)</f>
        <v>0</v>
      </c>
      <c r="H270" s="48">
        <f>IF('Variables y Resumen'!$B$11="SI",C270*D270%/MID($H$15,8,3)*G270,0)</f>
        <v>0</v>
      </c>
      <c r="I270" s="90"/>
      <c r="J270" s="90"/>
      <c r="K270" s="90"/>
    </row>
    <row r="271" spans="1:14" ht="20.100000000000001" customHeight="1" x14ac:dyDescent="0.2">
      <c r="A271" s="10" t="s">
        <v>29</v>
      </c>
      <c r="B271" s="10" t="s">
        <v>28</v>
      </c>
      <c r="C271" s="9">
        <f>B254</f>
        <v>27692307.899999999</v>
      </c>
      <c r="D271" s="73">
        <f>MIN('Variables y Resumen'!$B$7,'Variables y Resumen'!$B$12-D263)</f>
        <v>2</v>
      </c>
      <c r="E271" s="12">
        <f>E263</f>
        <v>44441</v>
      </c>
      <c r="F271" s="12">
        <f>F263</f>
        <v>44441</v>
      </c>
      <c r="G271" s="41">
        <f>IF('Variables y Resumen'!$B$3=360,DAYS360(E271,F271),F271-E271)</f>
        <v>0</v>
      </c>
      <c r="H271" s="48">
        <f t="shared" ref="H271" si="30">C271*D271%/MID($H$15,8,3)*G271</f>
        <v>0</v>
      </c>
      <c r="I271" s="90"/>
      <c r="J271" s="90"/>
      <c r="K271" s="90"/>
    </row>
    <row r="272" spans="1:14" ht="20.100000000000001" customHeight="1" x14ac:dyDescent="0.2">
      <c r="A272" s="10" t="s">
        <v>31</v>
      </c>
      <c r="B272" s="10" t="s">
        <v>28</v>
      </c>
      <c r="C272" s="9">
        <f>D254</f>
        <v>151507.47999999998</v>
      </c>
      <c r="D272" s="73">
        <f>D270</f>
        <v>6.1476300000000004</v>
      </c>
      <c r="E272" s="12">
        <f>E263</f>
        <v>44441</v>
      </c>
      <c r="F272" s="12">
        <f>F263</f>
        <v>44441</v>
      </c>
      <c r="G272" s="41">
        <f>IF('Variables y Resumen'!$B$3=360,DAYS360(E272,F272),F272-E272)</f>
        <v>0</v>
      </c>
      <c r="H272" s="48">
        <f>IF('Variables y Resumen'!$B$10="SI",C272*D272%/MID($H$15,8,3)*G272,0)</f>
        <v>0</v>
      </c>
      <c r="I272" s="90"/>
      <c r="J272" s="90"/>
      <c r="K272" s="90"/>
    </row>
    <row r="273" spans="1:11" ht="20.100000000000001" customHeight="1" x14ac:dyDescent="0.2">
      <c r="A273" s="8" t="s">
        <v>1</v>
      </c>
      <c r="B273" s="8" t="s">
        <v>2</v>
      </c>
      <c r="C273" s="8" t="s">
        <v>2</v>
      </c>
      <c r="D273" s="8" t="s">
        <v>2</v>
      </c>
      <c r="E273" s="8" t="s">
        <v>2</v>
      </c>
      <c r="F273" s="8" t="s">
        <v>2</v>
      </c>
      <c r="G273" s="7" t="s">
        <v>2</v>
      </c>
      <c r="H273" s="49">
        <f>SUM(H269:H272)</f>
        <v>0</v>
      </c>
      <c r="I273" s="91"/>
      <c r="J273" s="91"/>
      <c r="K273" s="91"/>
    </row>
    <row r="274" spans="1:11" ht="20.100000000000001" customHeight="1" x14ac:dyDescent="0.2"/>
    <row r="275" spans="1:11" ht="20.100000000000001" customHeight="1" x14ac:dyDescent="0.2"/>
    <row r="276" spans="1:11" ht="20.100000000000001" customHeight="1" x14ac:dyDescent="0.2">
      <c r="A276" s="174" t="s">
        <v>33</v>
      </c>
      <c r="B276" s="175"/>
      <c r="C276" s="175"/>
    </row>
    <row r="277" spans="1:11" ht="20.100000000000001" customHeight="1" x14ac:dyDescent="0.2">
      <c r="A277" s="7" t="s">
        <v>23</v>
      </c>
      <c r="B277" s="7" t="s">
        <v>36</v>
      </c>
      <c r="C277" s="7" t="s">
        <v>110</v>
      </c>
      <c r="D277" s="7" t="s">
        <v>38</v>
      </c>
    </row>
    <row r="278" spans="1:11" ht="20.100000000000001" customHeight="1" x14ac:dyDescent="0.2">
      <c r="A278" s="10" t="s">
        <v>60</v>
      </c>
      <c r="B278" s="9">
        <f>D246</f>
        <v>106507.48</v>
      </c>
      <c r="C278" s="48">
        <f>IF('Variables y Resumen'!$B$9="SI",0,0)</f>
        <v>0</v>
      </c>
      <c r="D278" s="9">
        <f t="shared" ref="D278:D279" si="31">SUM(B278:C278)</f>
        <v>106507.48</v>
      </c>
    </row>
    <row r="279" spans="1:11" ht="20.100000000000001" customHeight="1" x14ac:dyDescent="0.2">
      <c r="A279" s="10" t="s">
        <v>32</v>
      </c>
      <c r="B279" s="9">
        <f>B247</f>
        <v>45000</v>
      </c>
      <c r="C279" s="48">
        <f>IF('Variables y Resumen'!$B$9="SI",0,0)</f>
        <v>0</v>
      </c>
      <c r="D279" s="9">
        <f t="shared" si="31"/>
        <v>45000</v>
      </c>
    </row>
    <row r="280" spans="1:11" ht="20.100000000000001" customHeight="1" x14ac:dyDescent="0.2">
      <c r="A280" s="8" t="s">
        <v>82</v>
      </c>
      <c r="B280" s="13">
        <f>SUM(B278:B279)</f>
        <v>151507.47999999998</v>
      </c>
      <c r="C280" s="13">
        <f>SUM(C278:C279)</f>
        <v>0</v>
      </c>
      <c r="D280" s="13">
        <f>D278+D279</f>
        <v>151507.47999999998</v>
      </c>
    </row>
  </sheetData>
  <sheetProtection sheet="1" objects="1" scenarios="1"/>
  <mergeCells count="37">
    <mergeCell ref="I165:N165"/>
    <mergeCell ref="I196:N196"/>
    <mergeCell ref="I229:N229"/>
    <mergeCell ref="I261:N261"/>
    <mergeCell ref="I15:N15"/>
    <mergeCell ref="I45:N45"/>
    <mergeCell ref="I73:N73"/>
    <mergeCell ref="I103:N103"/>
    <mergeCell ref="I133:N133"/>
    <mergeCell ref="A220:F220"/>
    <mergeCell ref="A228:C228"/>
    <mergeCell ref="A260:C260"/>
    <mergeCell ref="A276:C276"/>
    <mergeCell ref="A244:C244"/>
    <mergeCell ref="A252:F252"/>
    <mergeCell ref="A180:C180"/>
    <mergeCell ref="A124:F124"/>
    <mergeCell ref="A132:C132"/>
    <mergeCell ref="A148:C148"/>
    <mergeCell ref="A156:F156"/>
    <mergeCell ref="A164:C164"/>
    <mergeCell ref="H2:I2"/>
    <mergeCell ref="A195:C195"/>
    <mergeCell ref="A211:C211"/>
    <mergeCell ref="A187:F187"/>
    <mergeCell ref="A118:C118"/>
    <mergeCell ref="A6:F6"/>
    <mergeCell ref="A14:C14"/>
    <mergeCell ref="A29:C29"/>
    <mergeCell ref="A36:F36"/>
    <mergeCell ref="A44:C44"/>
    <mergeCell ref="A59:C59"/>
    <mergeCell ref="A64:F64"/>
    <mergeCell ref="A72:C72"/>
    <mergeCell ref="A88:C88"/>
    <mergeCell ref="A94:F94"/>
    <mergeCell ref="A102:C102"/>
  </mergeCells>
  <pageMargins left="0.75" right="0.75" top="1" bottom="1" header="0.5" footer="0.5"/>
  <pageSetup scale="7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83"/>
  <sheetViews>
    <sheetView topLeftCell="A250" workbookViewId="0">
      <selection activeCell="D274" sqref="D274:D276"/>
    </sheetView>
  </sheetViews>
  <sheetFormatPr baseColWidth="10" defaultColWidth="20.5703125" defaultRowHeight="12.75" x14ac:dyDescent="0.2"/>
  <cols>
    <col min="1" max="1" width="26.140625" style="6" customWidth="1"/>
    <col min="2" max="4" width="20.5703125" style="6" customWidth="1"/>
    <col min="5" max="7" width="20.5703125" style="27" customWidth="1"/>
    <col min="8" max="8" width="20.5703125" style="6" customWidth="1"/>
    <col min="9" max="11" width="20.5703125" style="89" customWidth="1"/>
    <col min="12" max="13" width="20.5703125" style="26"/>
    <col min="14" max="16384" width="20.5703125" style="6"/>
  </cols>
  <sheetData>
    <row r="2" spans="1:14" x14ac:dyDescent="0.2">
      <c r="H2" s="173" t="s">
        <v>156</v>
      </c>
      <c r="I2" s="173"/>
    </row>
    <row r="3" spans="1:14" x14ac:dyDescent="0.2">
      <c r="H3" s="108" t="s">
        <v>7</v>
      </c>
      <c r="I3" s="30">
        <f>'Variables y Resumen'!C17</f>
        <v>5</v>
      </c>
      <c r="J3" s="27"/>
      <c r="K3" s="27"/>
    </row>
    <row r="4" spans="1:14" ht="18.75" x14ac:dyDescent="0.2">
      <c r="H4" s="108" t="s">
        <v>157</v>
      </c>
      <c r="I4" s="30">
        <v>2</v>
      </c>
      <c r="J4" s="50"/>
      <c r="K4" s="50"/>
    </row>
    <row r="5" spans="1:14" ht="15" x14ac:dyDescent="0.2">
      <c r="A5" s="34">
        <v>43175</v>
      </c>
      <c r="B5" s="34">
        <v>43360</v>
      </c>
      <c r="C5" s="5"/>
      <c r="D5" s="5"/>
      <c r="E5" s="28"/>
      <c r="F5" s="28"/>
      <c r="G5" s="28"/>
      <c r="H5" s="5"/>
      <c r="I5" s="5"/>
      <c r="J5" s="5"/>
      <c r="K5" s="5"/>
    </row>
    <row r="6" spans="1:14" x14ac:dyDescent="0.2">
      <c r="A6" s="16" t="s">
        <v>0</v>
      </c>
    </row>
    <row r="7" spans="1:14" x14ac:dyDescent="0.2">
      <c r="A7" s="176" t="s">
        <v>34</v>
      </c>
      <c r="B7" s="175"/>
      <c r="C7" s="175"/>
      <c r="D7" s="175"/>
      <c r="E7" s="175"/>
      <c r="F7" s="175"/>
    </row>
    <row r="8" spans="1:14" ht="25.5" x14ac:dyDescent="0.2">
      <c r="A8" s="7" t="s">
        <v>23</v>
      </c>
      <c r="B8" s="7" t="s">
        <v>16</v>
      </c>
      <c r="C8" s="7" t="s">
        <v>17</v>
      </c>
      <c r="D8" s="7" t="s">
        <v>19</v>
      </c>
      <c r="E8" s="7" t="s">
        <v>63</v>
      </c>
      <c r="F8" s="7" t="s">
        <v>1</v>
      </c>
    </row>
    <row r="9" spans="1:14" x14ac:dyDescent="0.2">
      <c r="A9" s="8" t="s">
        <v>36</v>
      </c>
      <c r="B9" s="9">
        <v>0</v>
      </c>
      <c r="C9" s="9">
        <v>0</v>
      </c>
      <c r="D9" s="9">
        <f>B33</f>
        <v>0</v>
      </c>
      <c r="E9" s="38">
        <v>0</v>
      </c>
      <c r="F9" s="38">
        <f>SUM(B9:C9:D9:E9)</f>
        <v>0</v>
      </c>
    </row>
    <row r="10" spans="1:14" x14ac:dyDescent="0.2">
      <c r="A10" s="8" t="s">
        <v>110</v>
      </c>
      <c r="B10" s="9">
        <v>6250000</v>
      </c>
      <c r="C10" s="9">
        <f>H20</f>
        <v>1254140.8385416667</v>
      </c>
      <c r="D10" s="9">
        <f>C33</f>
        <v>0</v>
      </c>
      <c r="E10" s="38">
        <f>H27</f>
        <v>262.10237388888885</v>
      </c>
      <c r="F10" s="38">
        <f>SUM(B10:C10:D10:E10)</f>
        <v>7504402.9409155557</v>
      </c>
    </row>
    <row r="11" spans="1:14" x14ac:dyDescent="0.2">
      <c r="A11" s="8" t="s">
        <v>38</v>
      </c>
      <c r="B11" s="13">
        <f>SUM(B9:B10)</f>
        <v>6250000</v>
      </c>
      <c r="C11" s="13">
        <f>SUM(C9:C10)</f>
        <v>1254140.8385416667</v>
      </c>
      <c r="D11" s="13">
        <f>SUM(D9:D10)</f>
        <v>0</v>
      </c>
      <c r="E11" s="72">
        <f>SUM(E9:E10)</f>
        <v>262.10237388888885</v>
      </c>
      <c r="F11" s="72">
        <f>SUM(F9:F10)</f>
        <v>7504402.9409155557</v>
      </c>
    </row>
    <row r="15" spans="1:14" x14ac:dyDescent="0.2">
      <c r="A15" s="174" t="s">
        <v>24</v>
      </c>
      <c r="B15" s="175"/>
      <c r="C15" s="175"/>
    </row>
    <row r="16" spans="1:14" ht="25.5" x14ac:dyDescent="0.2">
      <c r="A16" s="7" t="s">
        <v>23</v>
      </c>
      <c r="B16" s="7" t="s">
        <v>27</v>
      </c>
      <c r="C16" s="7" t="s">
        <v>26</v>
      </c>
      <c r="D16" s="7" t="s">
        <v>25</v>
      </c>
      <c r="E16" s="7" t="s">
        <v>21</v>
      </c>
      <c r="F16" s="7" t="s">
        <v>22</v>
      </c>
      <c r="G16" s="7" t="str">
        <f>"Días ("&amp;'Variables y Resumen'!B3&amp;")"</f>
        <v>Días (365)</v>
      </c>
      <c r="H16" s="7" t="str">
        <f>"Monto ("&amp;'Variables y Resumen'!$B$4&amp;")"</f>
        <v>Monto (360)</v>
      </c>
      <c r="I16" s="178" t="s">
        <v>139</v>
      </c>
      <c r="J16" s="179"/>
      <c r="K16" s="179"/>
      <c r="L16" s="179"/>
      <c r="M16" s="179"/>
      <c r="N16" s="180"/>
    </row>
    <row r="17" spans="1:14" ht="24.75" customHeight="1" x14ac:dyDescent="0.2">
      <c r="A17" s="8" t="s">
        <v>17</v>
      </c>
      <c r="B17" s="8"/>
      <c r="C17" s="8"/>
      <c r="D17" s="8"/>
      <c r="E17" s="7"/>
      <c r="F17" s="7"/>
      <c r="G17" s="7"/>
      <c r="H17" s="8"/>
      <c r="I17" s="7" t="s">
        <v>141</v>
      </c>
      <c r="J17" s="7" t="s">
        <v>142</v>
      </c>
      <c r="K17" s="7" t="s">
        <v>135</v>
      </c>
      <c r="L17" s="35" t="s">
        <v>136</v>
      </c>
      <c r="M17" s="35" t="s">
        <v>134</v>
      </c>
      <c r="N17" s="36" t="s">
        <v>137</v>
      </c>
    </row>
    <row r="18" spans="1:14" x14ac:dyDescent="0.2">
      <c r="A18" s="10" t="s">
        <v>13</v>
      </c>
      <c r="B18" s="10" t="s">
        <v>8</v>
      </c>
      <c r="C18" s="9">
        <v>43750000</v>
      </c>
      <c r="D18" s="73">
        <f>MIN('Variables y Resumen'!$B$12,MIN('Variables y Resumen'!$B$5,$I$3)+N18 )</f>
        <v>6.4671900000000004</v>
      </c>
      <c r="E18" s="39">
        <v>43174</v>
      </c>
      <c r="F18" s="39">
        <v>43175</v>
      </c>
      <c r="G18" s="41">
        <f>IF('Variables y Resumen'!$B$3=360,DAYS360(E18,F18),F18-E18)</f>
        <v>1</v>
      </c>
      <c r="H18" s="9">
        <f>C18*D18%/MID($H$16,8,3)*G18</f>
        <v>7859.432291666667</v>
      </c>
      <c r="I18" s="96">
        <f>VLOOKUP(A5,Tabla_Libor,8,0)</f>
        <v>2.3636300000000001</v>
      </c>
      <c r="J18" s="95">
        <f>VLOOKUP(B5,Tabla_Libor,8,0)</f>
        <v>2.5707499999999999</v>
      </c>
      <c r="K18" s="38">
        <f>(I18+J18)/2</f>
        <v>2.46719</v>
      </c>
      <c r="L18" s="51">
        <v>2.3050000000000002</v>
      </c>
      <c r="M18" s="51">
        <f>MIN(I18:L18)</f>
        <v>2.3050000000000002</v>
      </c>
      <c r="N18" s="37">
        <f>HLOOKUP(Selección_Libor,I17:M18,2,0)</f>
        <v>2.46719</v>
      </c>
    </row>
    <row r="19" spans="1:14" x14ac:dyDescent="0.2">
      <c r="A19" s="10" t="s">
        <v>13</v>
      </c>
      <c r="B19" s="10" t="s">
        <v>8</v>
      </c>
      <c r="C19" s="9">
        <v>37500000</v>
      </c>
      <c r="D19" s="73">
        <f>D18</f>
        <v>6.4671900000000004</v>
      </c>
      <c r="E19" s="39">
        <f>F18</f>
        <v>43175</v>
      </c>
      <c r="F19" s="39">
        <v>43360</v>
      </c>
      <c r="G19" s="41">
        <f>IF('Variables y Resumen'!$B$3=360,DAYS360(E19,F19),F19-E19)</f>
        <v>185</v>
      </c>
      <c r="H19" s="9">
        <f>C19*D19%/MID($H$16,8,3)*G19</f>
        <v>1246281.40625</v>
      </c>
      <c r="I19" s="98"/>
      <c r="J19" s="98"/>
      <c r="K19" s="98"/>
    </row>
    <row r="20" spans="1:14" x14ac:dyDescent="0.2">
      <c r="A20" s="8" t="s">
        <v>1</v>
      </c>
      <c r="B20" s="8" t="s">
        <v>2</v>
      </c>
      <c r="C20" s="8" t="s">
        <v>2</v>
      </c>
      <c r="D20" s="8" t="s">
        <v>2</v>
      </c>
      <c r="E20" s="7" t="s">
        <v>2</v>
      </c>
      <c r="F20" s="7" t="s">
        <v>2</v>
      </c>
      <c r="G20" s="7" t="s">
        <v>2</v>
      </c>
      <c r="H20" s="13">
        <f>SUM(H18:H19)</f>
        <v>1254140.8385416667</v>
      </c>
      <c r="I20" s="99"/>
      <c r="J20" s="99"/>
      <c r="K20" s="99"/>
    </row>
    <row r="23" spans="1:14" ht="25.5" x14ac:dyDescent="0.2">
      <c r="A23" s="7" t="s">
        <v>23</v>
      </c>
      <c r="B23" s="7" t="s">
        <v>27</v>
      </c>
      <c r="C23" s="7" t="s">
        <v>26</v>
      </c>
      <c r="D23" s="7" t="s">
        <v>25</v>
      </c>
      <c r="E23" s="7" t="s">
        <v>21</v>
      </c>
      <c r="F23" s="7" t="s">
        <v>22</v>
      </c>
      <c r="G23" s="7" t="str">
        <f>G16</f>
        <v>Días (365)</v>
      </c>
      <c r="H23" s="7" t="str">
        <f>H16</f>
        <v>Monto (360)</v>
      </c>
      <c r="I23" s="92"/>
      <c r="J23" s="92"/>
      <c r="K23" s="92"/>
    </row>
    <row r="24" spans="1:14" x14ac:dyDescent="0.2">
      <c r="A24" s="8" t="s">
        <v>20</v>
      </c>
      <c r="B24" s="8"/>
      <c r="C24" s="8"/>
      <c r="D24" s="8"/>
      <c r="E24" s="7"/>
      <c r="F24" s="7"/>
      <c r="G24" s="7"/>
      <c r="H24" s="8"/>
      <c r="I24" s="100"/>
      <c r="J24" s="100"/>
      <c r="K24" s="100"/>
    </row>
    <row r="25" spans="1:14" x14ac:dyDescent="0.2">
      <c r="A25" s="10" t="s">
        <v>29</v>
      </c>
      <c r="B25" s="10" t="s">
        <v>28</v>
      </c>
      <c r="C25" s="9">
        <v>6250000</v>
      </c>
      <c r="D25" s="73">
        <f>MIN('Variables y Resumen'!$B$7,'Variables y Resumen'!$B$12-D18)</f>
        <v>3.2809999999999562E-2</v>
      </c>
      <c r="E25" s="39">
        <v>43174</v>
      </c>
      <c r="F25" s="39">
        <v>43175</v>
      </c>
      <c r="G25" s="41">
        <f>IF('Variables y Resumen'!$B$3=360,DAYS360(E25,F25),F25-E25)</f>
        <v>1</v>
      </c>
      <c r="H25" s="9">
        <f t="shared" ref="H25" si="0">C25*D25%/MID($H$16,8,3)*G25</f>
        <v>5.6961805555554799</v>
      </c>
      <c r="I25" s="98"/>
      <c r="J25" s="98"/>
      <c r="K25" s="98"/>
    </row>
    <row r="26" spans="1:14" x14ac:dyDescent="0.2">
      <c r="A26" s="10" t="s">
        <v>30</v>
      </c>
      <c r="B26" s="10" t="s">
        <v>28</v>
      </c>
      <c r="C26" s="9">
        <v>1420095.84</v>
      </c>
      <c r="D26" s="73">
        <f>MIN(D18+'Variables y Resumen'!$B$7,'Variables y Resumen'!$B$12)</f>
        <v>6.5</v>
      </c>
      <c r="E26" s="39">
        <v>43174</v>
      </c>
      <c r="F26" s="39">
        <v>43175</v>
      </c>
      <c r="G26" s="41">
        <f>IF('Variables y Resumen'!$B$3=360,DAYS360(E26,F26),F26-E26)</f>
        <v>1</v>
      </c>
      <c r="H26" s="48">
        <f>IF('Variables y Resumen'!$B$11="SI",C26*D26%/MID($H$16,8,3)*G26,0)</f>
        <v>256.40619333333336</v>
      </c>
      <c r="I26" s="90"/>
      <c r="J26" s="90"/>
      <c r="K26" s="90"/>
    </row>
    <row r="27" spans="1:14" x14ac:dyDescent="0.2">
      <c r="A27" s="8" t="s">
        <v>1</v>
      </c>
      <c r="B27" s="8" t="s">
        <v>2</v>
      </c>
      <c r="C27" s="8" t="s">
        <v>2</v>
      </c>
      <c r="D27" s="8" t="s">
        <v>2</v>
      </c>
      <c r="E27" s="7" t="s">
        <v>2</v>
      </c>
      <c r="F27" s="7" t="s">
        <v>2</v>
      </c>
      <c r="G27" s="7" t="s">
        <v>2</v>
      </c>
      <c r="H27" s="13">
        <f>SUM(H25:H26)</f>
        <v>262.10237388888885</v>
      </c>
      <c r="I27" s="99"/>
      <c r="J27" s="99"/>
      <c r="K27" s="99"/>
    </row>
    <row r="30" spans="1:14" x14ac:dyDescent="0.2">
      <c r="A30" s="174" t="s">
        <v>33</v>
      </c>
      <c r="B30" s="175"/>
      <c r="C30" s="175"/>
    </row>
    <row r="31" spans="1:14" x14ac:dyDescent="0.2">
      <c r="A31" s="7" t="s">
        <v>23</v>
      </c>
      <c r="B31" s="7" t="s">
        <v>36</v>
      </c>
      <c r="C31" s="7" t="s">
        <v>110</v>
      </c>
      <c r="D31" s="7" t="s">
        <v>38</v>
      </c>
    </row>
    <row r="32" spans="1:14" x14ac:dyDescent="0.2">
      <c r="A32" s="10"/>
      <c r="B32" s="9">
        <v>0</v>
      </c>
      <c r="C32" s="48">
        <f>IF('Variables y Resumen'!$B$9="SI",0,0)</f>
        <v>0</v>
      </c>
      <c r="D32" s="9">
        <f>SUM(B32:C32)</f>
        <v>0</v>
      </c>
    </row>
    <row r="33" spans="1:14" x14ac:dyDescent="0.2">
      <c r="A33" s="10" t="s">
        <v>82</v>
      </c>
      <c r="B33" s="13">
        <f>SUM(B32:B32)</f>
        <v>0</v>
      </c>
      <c r="C33" s="13">
        <f>SUM(C32:C32)</f>
        <v>0</v>
      </c>
      <c r="D33" s="13">
        <f>SUM(D32:D32)</f>
        <v>0</v>
      </c>
    </row>
    <row r="34" spans="1:14" x14ac:dyDescent="0.2">
      <c r="A34" s="14" t="s">
        <v>0</v>
      </c>
    </row>
    <row r="35" spans="1:14" ht="15" x14ac:dyDescent="0.2">
      <c r="A35" s="34">
        <f>B5</f>
        <v>43360</v>
      </c>
      <c r="B35" s="34">
        <v>43539</v>
      </c>
      <c r="C35" s="5"/>
      <c r="D35" s="5"/>
      <c r="E35" s="28"/>
      <c r="F35" s="28"/>
      <c r="G35" s="28"/>
      <c r="H35" s="5"/>
      <c r="I35" s="5"/>
      <c r="J35" s="5"/>
      <c r="K35" s="5"/>
    </row>
    <row r="36" spans="1:14" x14ac:dyDescent="0.2">
      <c r="A36" s="16" t="s">
        <v>0</v>
      </c>
    </row>
    <row r="37" spans="1:14" x14ac:dyDescent="0.2">
      <c r="A37" s="176" t="s">
        <v>34</v>
      </c>
      <c r="B37" s="175"/>
      <c r="C37" s="175"/>
      <c r="D37" s="175"/>
      <c r="E37" s="175"/>
      <c r="F37" s="175"/>
    </row>
    <row r="38" spans="1:14" ht="25.5" x14ac:dyDescent="0.2">
      <c r="A38" s="7" t="s">
        <v>23</v>
      </c>
      <c r="B38" s="7" t="s">
        <v>16</v>
      </c>
      <c r="C38" s="7" t="s">
        <v>17</v>
      </c>
      <c r="D38" s="7" t="s">
        <v>19</v>
      </c>
      <c r="E38" s="7" t="s">
        <v>63</v>
      </c>
      <c r="F38" s="7" t="s">
        <v>1</v>
      </c>
    </row>
    <row r="39" spans="1:14" x14ac:dyDescent="0.2">
      <c r="A39" s="8" t="s">
        <v>36</v>
      </c>
      <c r="B39" s="9">
        <v>6250000</v>
      </c>
      <c r="C39" s="9">
        <v>1416611.98</v>
      </c>
      <c r="D39" s="9">
        <v>0</v>
      </c>
      <c r="E39" s="38">
        <v>714.27</v>
      </c>
      <c r="F39" s="38">
        <f>SUM(B39:E39)</f>
        <v>7667326.25</v>
      </c>
    </row>
    <row r="40" spans="1:14" x14ac:dyDescent="0.2">
      <c r="A40" s="8" t="s">
        <v>110</v>
      </c>
      <c r="B40" s="9">
        <v>6250000</v>
      </c>
      <c r="C40" s="9">
        <f>H49</f>
        <v>1211979.1666666665</v>
      </c>
      <c r="D40" s="9">
        <f>C63</f>
        <v>10000</v>
      </c>
      <c r="E40" s="38">
        <f>SUM(H54:H56)</f>
        <v>45807.196996527775</v>
      </c>
      <c r="F40" s="38">
        <f>SUM(B40:E40)</f>
        <v>7517786.3636631938</v>
      </c>
    </row>
    <row r="41" spans="1:14" x14ac:dyDescent="0.2">
      <c r="A41" s="8" t="s">
        <v>38</v>
      </c>
      <c r="B41" s="9">
        <f t="shared" ref="B41:E41" si="1">SUM(B39:B40)</f>
        <v>12500000</v>
      </c>
      <c r="C41" s="9">
        <f t="shared" si="1"/>
        <v>2628591.1466666665</v>
      </c>
      <c r="D41" s="9">
        <f t="shared" si="1"/>
        <v>10000</v>
      </c>
      <c r="E41" s="38">
        <f t="shared" si="1"/>
        <v>46521.466996527772</v>
      </c>
      <c r="F41" s="38">
        <f>SUM(F39:F40)</f>
        <v>15185112.613663193</v>
      </c>
    </row>
    <row r="45" spans="1:14" x14ac:dyDescent="0.2">
      <c r="A45" s="174" t="s">
        <v>24</v>
      </c>
      <c r="B45" s="175"/>
      <c r="C45" s="175"/>
    </row>
    <row r="46" spans="1:14" ht="25.5" x14ac:dyDescent="0.2">
      <c r="A46" s="7" t="s">
        <v>23</v>
      </c>
      <c r="B46" s="7" t="s">
        <v>27</v>
      </c>
      <c r="C46" s="7" t="s">
        <v>26</v>
      </c>
      <c r="D46" s="7" t="s">
        <v>25</v>
      </c>
      <c r="E46" s="7" t="s">
        <v>21</v>
      </c>
      <c r="F46" s="7" t="s">
        <v>22</v>
      </c>
      <c r="G46" s="7" t="str">
        <f>G23</f>
        <v>Días (365)</v>
      </c>
      <c r="H46" s="7" t="str">
        <f>H23</f>
        <v>Monto (360)</v>
      </c>
      <c r="I46" s="178" t="s">
        <v>139</v>
      </c>
      <c r="J46" s="179"/>
      <c r="K46" s="179"/>
      <c r="L46" s="179"/>
      <c r="M46" s="179"/>
      <c r="N46" s="180"/>
    </row>
    <row r="47" spans="1:14" ht="19.5" customHeight="1" x14ac:dyDescent="0.2">
      <c r="A47" s="8" t="s">
        <v>17</v>
      </c>
      <c r="B47" s="8"/>
      <c r="C47" s="8"/>
      <c r="D47" s="8"/>
      <c r="E47" s="7"/>
      <c r="F47" s="7"/>
      <c r="G47" s="7"/>
      <c r="H47" s="8"/>
      <c r="I47" s="7" t="s">
        <v>141</v>
      </c>
      <c r="J47" s="7" t="s">
        <v>142</v>
      </c>
      <c r="K47" s="7" t="s">
        <v>135</v>
      </c>
      <c r="L47" s="35" t="s">
        <v>136</v>
      </c>
      <c r="M47" s="35" t="s">
        <v>134</v>
      </c>
      <c r="N47" s="36" t="s">
        <v>137</v>
      </c>
    </row>
    <row r="48" spans="1:14" x14ac:dyDescent="0.2">
      <c r="A48" s="10" t="s">
        <v>13</v>
      </c>
      <c r="B48" s="10" t="s">
        <v>8</v>
      </c>
      <c r="C48" s="9">
        <v>37500000</v>
      </c>
      <c r="D48" s="73">
        <f>MIN('Variables y Resumen'!$B$12,MIN('Variables y Resumen'!$B$5,$I$3)+N48 )</f>
        <v>6.5</v>
      </c>
      <c r="E48" s="39">
        <v>43360</v>
      </c>
      <c r="F48" s="39">
        <v>43539</v>
      </c>
      <c r="G48" s="41">
        <f>IF('Variables y Resumen'!$B$3=360,DAYS360(E48,F48),F48-E48)</f>
        <v>179</v>
      </c>
      <c r="H48" s="9">
        <f t="shared" ref="H48" si="2">C48*D48%/MID($H$16,8,3)*G48</f>
        <v>1211979.1666666665</v>
      </c>
      <c r="I48" s="96">
        <f>VLOOKUP(A35,Tabla_Libor,8,0)</f>
        <v>2.5707499999999999</v>
      </c>
      <c r="J48" s="95">
        <f>VLOOKUP(B35,Tabla_Libor,8,0)</f>
        <v>2.6717499999999998</v>
      </c>
      <c r="K48" s="38">
        <f>(I48+J48)/2</f>
        <v>2.6212499999999999</v>
      </c>
      <c r="L48" s="51">
        <v>2.5680000000000001</v>
      </c>
      <c r="M48" s="51">
        <f>MIN(I48:L48)</f>
        <v>2.5680000000000001</v>
      </c>
      <c r="N48" s="37">
        <f>HLOOKUP(Selección_Libor,I47:M48,2,0)</f>
        <v>2.6212499999999999</v>
      </c>
    </row>
    <row r="49" spans="1:11" x14ac:dyDescent="0.2">
      <c r="A49" s="8" t="s">
        <v>1</v>
      </c>
      <c r="B49" s="8" t="s">
        <v>2</v>
      </c>
      <c r="C49" s="8" t="s">
        <v>2</v>
      </c>
      <c r="D49" s="8" t="s">
        <v>2</v>
      </c>
      <c r="E49" s="7" t="s">
        <v>2</v>
      </c>
      <c r="F49" s="7" t="s">
        <v>2</v>
      </c>
      <c r="G49" s="7" t="s">
        <v>2</v>
      </c>
      <c r="H49" s="13">
        <f>SUM(H48:H48)</f>
        <v>1211979.1666666665</v>
      </c>
      <c r="I49" s="99"/>
      <c r="J49" s="99"/>
      <c r="K49" s="99"/>
    </row>
    <row r="52" spans="1:11" ht="25.5" x14ac:dyDescent="0.2">
      <c r="A52" s="7" t="s">
        <v>23</v>
      </c>
      <c r="B52" s="7" t="s">
        <v>27</v>
      </c>
      <c r="C52" s="7" t="s">
        <v>26</v>
      </c>
      <c r="D52" s="7" t="s">
        <v>25</v>
      </c>
      <c r="E52" s="7" t="s">
        <v>21</v>
      </c>
      <c r="F52" s="7" t="s">
        <v>22</v>
      </c>
      <c r="G52" s="7" t="str">
        <f>G46</f>
        <v>Días (365)</v>
      </c>
      <c r="H52" s="7" t="str">
        <f>H46</f>
        <v>Monto (360)</v>
      </c>
      <c r="I52" s="92"/>
      <c r="J52" s="92"/>
      <c r="K52" s="92"/>
    </row>
    <row r="53" spans="1:11" x14ac:dyDescent="0.2">
      <c r="A53" s="8" t="s">
        <v>20</v>
      </c>
      <c r="B53" s="8"/>
      <c r="C53" s="8"/>
      <c r="D53" s="8"/>
      <c r="E53" s="7"/>
      <c r="F53" s="7"/>
      <c r="G53" s="7"/>
      <c r="H53" s="8"/>
      <c r="I53" s="100"/>
      <c r="J53" s="100"/>
      <c r="K53" s="100"/>
    </row>
    <row r="54" spans="1:11" x14ac:dyDescent="0.2">
      <c r="A54" s="10" t="s">
        <v>29</v>
      </c>
      <c r="B54" s="10" t="s">
        <v>28</v>
      </c>
      <c r="C54" s="9">
        <f>B39</f>
        <v>6250000</v>
      </c>
      <c r="D54" s="73">
        <f>MIN('Variables y Resumen'!$B$7,'Variables y Resumen'!$B$12-D48)</f>
        <v>0</v>
      </c>
      <c r="E54" s="39">
        <v>43360</v>
      </c>
      <c r="F54" s="39">
        <v>43539</v>
      </c>
      <c r="G54" s="41">
        <f>IF('Variables y Resumen'!$B$3=360,DAYS360(E54,F54),F54-E54)</f>
        <v>179</v>
      </c>
      <c r="H54" s="9">
        <f t="shared" ref="H54" si="3">C54*D54%/MID($H$16,8,3)*G54</f>
        <v>0</v>
      </c>
      <c r="I54" s="98"/>
      <c r="J54" s="98"/>
      <c r="K54" s="98"/>
    </row>
    <row r="55" spans="1:11" x14ac:dyDescent="0.2">
      <c r="A55" s="10" t="s">
        <v>30</v>
      </c>
      <c r="B55" s="10" t="s">
        <v>28</v>
      </c>
      <c r="C55" s="9">
        <f>C39</f>
        <v>1416611.98</v>
      </c>
      <c r="D55" s="73">
        <f>MIN(D48+'Variables y Resumen'!$B$7,'Variables y Resumen'!$B$12)</f>
        <v>6.5</v>
      </c>
      <c r="E55" s="39">
        <v>43360</v>
      </c>
      <c r="F55" s="39">
        <v>43539</v>
      </c>
      <c r="G55" s="41">
        <f>IF('Variables y Resumen'!$B$3=360,DAYS360(E55,F55),F55-E55)</f>
        <v>179</v>
      </c>
      <c r="H55" s="48">
        <f>IF('Variables y Resumen'!$B$11="SI",C55*D55%/MID($H$16,8,3)*G55,0)</f>
        <v>45784.11218694444</v>
      </c>
      <c r="I55" s="90"/>
      <c r="J55" s="90"/>
      <c r="K55" s="90"/>
    </row>
    <row r="56" spans="1:11" x14ac:dyDescent="0.2">
      <c r="A56" s="10" t="s">
        <v>30</v>
      </c>
      <c r="B56" s="10" t="s">
        <v>28</v>
      </c>
      <c r="C56" s="9">
        <f>E39</f>
        <v>714.27</v>
      </c>
      <c r="D56" s="73">
        <f>D55</f>
        <v>6.5</v>
      </c>
      <c r="E56" s="39">
        <v>43360</v>
      </c>
      <c r="F56" s="39">
        <v>43539</v>
      </c>
      <c r="G56" s="41">
        <f>IF('Variables y Resumen'!$B$3=360,DAYS360(E56,F56),F56-E56)</f>
        <v>179</v>
      </c>
      <c r="H56" s="48">
        <f>IF('Variables y Resumen'!$B$11="SI",C56*D56%/MID($H$16,8,3)*G56,0)</f>
        <v>23.084809583333332</v>
      </c>
      <c r="I56" s="98"/>
      <c r="J56" s="98"/>
      <c r="K56" s="98"/>
    </row>
    <row r="57" spans="1:11" x14ac:dyDescent="0.2">
      <c r="A57" s="8" t="s">
        <v>1</v>
      </c>
      <c r="B57" s="8" t="s">
        <v>2</v>
      </c>
      <c r="C57" s="8" t="s">
        <v>2</v>
      </c>
      <c r="D57" s="8" t="s">
        <v>2</v>
      </c>
      <c r="E57" s="7" t="s">
        <v>2</v>
      </c>
      <c r="F57" s="7" t="s">
        <v>2</v>
      </c>
      <c r="G57" s="7" t="s">
        <v>2</v>
      </c>
      <c r="H57" s="13">
        <f>SUM(H54:H56)</f>
        <v>45807.196996527775</v>
      </c>
      <c r="I57" s="99"/>
      <c r="J57" s="99"/>
      <c r="K57" s="99"/>
    </row>
    <row r="60" spans="1:11" x14ac:dyDescent="0.2">
      <c r="A60" s="174" t="s">
        <v>33</v>
      </c>
      <c r="B60" s="175"/>
      <c r="C60" s="175"/>
    </row>
    <row r="61" spans="1:11" x14ac:dyDescent="0.2">
      <c r="A61" s="7" t="s">
        <v>23</v>
      </c>
      <c r="B61" s="7" t="s">
        <v>36</v>
      </c>
      <c r="C61" s="7" t="s">
        <v>110</v>
      </c>
      <c r="D61" s="7" t="s">
        <v>38</v>
      </c>
    </row>
    <row r="62" spans="1:11" x14ac:dyDescent="0.2">
      <c r="A62" s="10" t="s">
        <v>111</v>
      </c>
      <c r="B62" s="9">
        <f>D33</f>
        <v>0</v>
      </c>
      <c r="C62" s="48">
        <f>IF('Variables y Resumen'!$B$9="SI",10000,0)</f>
        <v>10000</v>
      </c>
      <c r="D62" s="9">
        <f>SUM(B62:C62)</f>
        <v>10000</v>
      </c>
    </row>
    <row r="63" spans="1:11" x14ac:dyDescent="0.2">
      <c r="A63" s="8" t="s">
        <v>82</v>
      </c>
      <c r="B63" s="13">
        <f>SUM(B62:B62)</f>
        <v>0</v>
      </c>
      <c r="C63" s="13">
        <f>SUM(C62:C62)</f>
        <v>10000</v>
      </c>
      <c r="D63" s="13">
        <f>SUM(D62:D62)</f>
        <v>10000</v>
      </c>
    </row>
    <row r="64" spans="1:11" x14ac:dyDescent="0.2">
      <c r="A64" s="14" t="s">
        <v>0</v>
      </c>
    </row>
    <row r="65" spans="1:14" ht="15" x14ac:dyDescent="0.2">
      <c r="A65" s="34">
        <f>B35</f>
        <v>43539</v>
      </c>
      <c r="B65" s="34">
        <v>43724</v>
      </c>
      <c r="C65" s="5"/>
      <c r="D65" s="5"/>
      <c r="E65" s="28"/>
      <c r="F65" s="28"/>
      <c r="G65" s="28"/>
      <c r="H65" s="5"/>
      <c r="I65" s="5"/>
      <c r="J65" s="5"/>
      <c r="K65" s="5"/>
    </row>
    <row r="66" spans="1:14" x14ac:dyDescent="0.2">
      <c r="A66" s="16" t="s">
        <v>0</v>
      </c>
    </row>
    <row r="67" spans="1:14" x14ac:dyDescent="0.2">
      <c r="A67" s="176" t="s">
        <v>34</v>
      </c>
      <c r="B67" s="175"/>
      <c r="C67" s="175"/>
      <c r="D67" s="175"/>
      <c r="E67" s="175"/>
      <c r="F67" s="175"/>
    </row>
    <row r="68" spans="1:14" ht="25.5" x14ac:dyDescent="0.2">
      <c r="A68" s="7" t="s">
        <v>23</v>
      </c>
      <c r="B68" s="7" t="s">
        <v>16</v>
      </c>
      <c r="C68" s="7" t="s">
        <v>17</v>
      </c>
      <c r="D68" s="7" t="s">
        <v>19</v>
      </c>
      <c r="E68" s="7" t="s">
        <v>63</v>
      </c>
      <c r="F68" s="7" t="s">
        <v>1</v>
      </c>
    </row>
    <row r="69" spans="1:14" x14ac:dyDescent="0.2">
      <c r="A69" s="8" t="s">
        <v>36</v>
      </c>
      <c r="B69" s="9">
        <f>B41</f>
        <v>12500000</v>
      </c>
      <c r="C69" s="9">
        <f>C41</f>
        <v>2628591.1466666665</v>
      </c>
      <c r="D69" s="9">
        <f>B94</f>
        <v>10000</v>
      </c>
      <c r="E69" s="38">
        <f>E41</f>
        <v>46521.466996527772</v>
      </c>
      <c r="F69" s="38">
        <f>SUM(B69:E69)</f>
        <v>15185112.613663195</v>
      </c>
      <c r="H69" s="31"/>
      <c r="I69" s="31"/>
      <c r="J69" s="31"/>
      <c r="K69" s="31"/>
    </row>
    <row r="70" spans="1:14" x14ac:dyDescent="0.2">
      <c r="A70" s="8" t="s">
        <v>110</v>
      </c>
      <c r="B70" s="9">
        <v>6250000</v>
      </c>
      <c r="C70" s="9">
        <f>H79</f>
        <v>1228491.536458333</v>
      </c>
      <c r="D70" s="9">
        <f>C94</f>
        <v>0</v>
      </c>
      <c r="E70" s="38">
        <f>H88</f>
        <v>97727.763345277577</v>
      </c>
      <c r="F70" s="38">
        <f>SUM(B70:E70)</f>
        <v>7576219.2998036109</v>
      </c>
    </row>
    <row r="71" spans="1:14" x14ac:dyDescent="0.2">
      <c r="A71" s="8" t="s">
        <v>38</v>
      </c>
      <c r="B71" s="9">
        <f t="shared" ref="B71:E71" si="4">SUM(B69:B70)</f>
        <v>18750000</v>
      </c>
      <c r="C71" s="9">
        <f t="shared" si="4"/>
        <v>3857082.6831249995</v>
      </c>
      <c r="D71" s="9">
        <f t="shared" si="4"/>
        <v>10000</v>
      </c>
      <c r="E71" s="38">
        <f t="shared" si="4"/>
        <v>144249.23034180535</v>
      </c>
      <c r="F71" s="38">
        <f>SUM(F69:F70)</f>
        <v>22761331.913466804</v>
      </c>
    </row>
    <row r="75" spans="1:14" x14ac:dyDescent="0.2">
      <c r="A75" s="174" t="s">
        <v>24</v>
      </c>
      <c r="B75" s="175"/>
      <c r="C75" s="175"/>
    </row>
    <row r="76" spans="1:14" ht="25.5" x14ac:dyDescent="0.2">
      <c r="A76" s="7" t="s">
        <v>23</v>
      </c>
      <c r="B76" s="7" t="s">
        <v>27</v>
      </c>
      <c r="C76" s="7" t="s">
        <v>26</v>
      </c>
      <c r="D76" s="7" t="s">
        <v>25</v>
      </c>
      <c r="E76" s="7" t="s">
        <v>21</v>
      </c>
      <c r="F76" s="7" t="s">
        <v>22</v>
      </c>
      <c r="G76" s="7" t="str">
        <f>G52</f>
        <v>Días (365)</v>
      </c>
      <c r="H76" s="7" t="str">
        <f>H52</f>
        <v>Monto (360)</v>
      </c>
      <c r="I76" s="178" t="s">
        <v>139</v>
      </c>
      <c r="J76" s="179"/>
      <c r="K76" s="179"/>
      <c r="L76" s="179"/>
      <c r="M76" s="179"/>
      <c r="N76" s="180"/>
    </row>
    <row r="77" spans="1:14" ht="16.5" customHeight="1" x14ac:dyDescent="0.2">
      <c r="A77" s="8" t="s">
        <v>17</v>
      </c>
      <c r="B77" s="8"/>
      <c r="C77" s="8"/>
      <c r="D77" s="8"/>
      <c r="E77" s="7"/>
      <c r="F77" s="7"/>
      <c r="G77" s="7"/>
      <c r="H77" s="8"/>
      <c r="I77" s="7" t="s">
        <v>141</v>
      </c>
      <c r="J77" s="7" t="s">
        <v>142</v>
      </c>
      <c r="K77" s="7" t="s">
        <v>135</v>
      </c>
      <c r="L77" s="35" t="s">
        <v>136</v>
      </c>
      <c r="M77" s="35" t="s">
        <v>134</v>
      </c>
      <c r="N77" s="36" t="s">
        <v>137</v>
      </c>
    </row>
    <row r="78" spans="1:14" ht="15" customHeight="1" x14ac:dyDescent="0.2">
      <c r="A78" s="10" t="s">
        <v>13</v>
      </c>
      <c r="B78" s="10" t="s">
        <v>8</v>
      </c>
      <c r="C78" s="9">
        <v>37500000</v>
      </c>
      <c r="D78" s="73">
        <f>MIN('Variables y Resumen'!$B$12,MIN('Variables y Resumen'!$B$5,$I$3)+N78 )</f>
        <v>6.3748749999999994</v>
      </c>
      <c r="E78" s="39">
        <v>43539</v>
      </c>
      <c r="F78" s="39">
        <v>43724</v>
      </c>
      <c r="G78" s="41">
        <f>IF('Variables y Resumen'!$B$3=360,DAYS360(E78,F78),F78-E78)</f>
        <v>185</v>
      </c>
      <c r="H78" s="9">
        <f t="shared" ref="H78" si="5">C78*D78%/MID($H$16,8,3)*G78</f>
        <v>1228491.536458333</v>
      </c>
      <c r="I78" s="96">
        <f>VLOOKUP(A65,Tabla_Libor,8,0)</f>
        <v>2.6717499999999998</v>
      </c>
      <c r="J78" s="96">
        <f>VLOOKUP(B65,Tabla_Libor,8,0)</f>
        <v>2.0779999999999998</v>
      </c>
      <c r="K78" s="96">
        <f>(I78+J78)/2</f>
        <v>2.3748749999999998</v>
      </c>
      <c r="L78" s="51">
        <v>2.677</v>
      </c>
      <c r="M78" s="51">
        <f>MIN(I78:L78)</f>
        <v>2.0779999999999998</v>
      </c>
      <c r="N78" s="37">
        <f>HLOOKUP(Selección_Libor,I77:M78,2,0)</f>
        <v>2.3748749999999998</v>
      </c>
    </row>
    <row r="79" spans="1:14" x14ac:dyDescent="0.2">
      <c r="A79" s="8" t="s">
        <v>1</v>
      </c>
      <c r="B79" s="8" t="s">
        <v>2</v>
      </c>
      <c r="C79" s="8" t="s">
        <v>2</v>
      </c>
      <c r="D79" s="8" t="s">
        <v>2</v>
      </c>
      <c r="E79" s="7" t="s">
        <v>2</v>
      </c>
      <c r="F79" s="7" t="s">
        <v>2</v>
      </c>
      <c r="G79" s="7" t="s">
        <v>2</v>
      </c>
      <c r="H79" s="13">
        <f>SUM(H78:H78)</f>
        <v>1228491.536458333</v>
      </c>
      <c r="I79" s="99"/>
      <c r="J79" s="99"/>
      <c r="K79" s="99"/>
    </row>
    <row r="82" spans="1:11" ht="25.5" x14ac:dyDescent="0.2">
      <c r="A82" s="7" t="s">
        <v>23</v>
      </c>
      <c r="B82" s="7" t="s">
        <v>27</v>
      </c>
      <c r="C82" s="7" t="s">
        <v>26</v>
      </c>
      <c r="D82" s="7" t="s">
        <v>25</v>
      </c>
      <c r="E82" s="7" t="s">
        <v>21</v>
      </c>
      <c r="F82" s="7" t="s">
        <v>22</v>
      </c>
      <c r="G82" s="7" t="str">
        <f>G76</f>
        <v>Días (365)</v>
      </c>
      <c r="H82" s="7" t="str">
        <f>H76</f>
        <v>Monto (360)</v>
      </c>
      <c r="I82" s="92"/>
      <c r="J82" s="92"/>
      <c r="K82" s="92"/>
    </row>
    <row r="83" spans="1:11" x14ac:dyDescent="0.2">
      <c r="A83" s="8" t="s">
        <v>20</v>
      </c>
      <c r="B83" s="8"/>
      <c r="C83" s="8"/>
      <c r="D83" s="8"/>
      <c r="E83" s="7"/>
      <c r="F83" s="7"/>
      <c r="G83" s="7"/>
      <c r="H83" s="8"/>
      <c r="I83" s="100"/>
      <c r="J83" s="100"/>
      <c r="K83" s="100"/>
    </row>
    <row r="84" spans="1:11" x14ac:dyDescent="0.2">
      <c r="A84" s="10" t="s">
        <v>29</v>
      </c>
      <c r="B84" s="10" t="s">
        <v>28</v>
      </c>
      <c r="C84" s="9">
        <f>B69</f>
        <v>12500000</v>
      </c>
      <c r="D84" s="73">
        <f>MIN('Variables y Resumen'!$B$7,'Variables y Resumen'!$B$12-D78)</f>
        <v>0.1251250000000006</v>
      </c>
      <c r="E84" s="39">
        <v>43539</v>
      </c>
      <c r="F84" s="39">
        <v>43724</v>
      </c>
      <c r="G84" s="41">
        <f>IF('Variables y Resumen'!$B$3=360,DAYS360(E84,F84),F84-E84)</f>
        <v>185</v>
      </c>
      <c r="H84" s="9">
        <f t="shared" ref="H84" si="6">C84*D84%/MID($H$16,8,3)*G84</f>
        <v>8037.5434027778174</v>
      </c>
      <c r="I84" s="98"/>
      <c r="J84" s="98"/>
      <c r="K84" s="98"/>
    </row>
    <row r="85" spans="1:11" x14ac:dyDescent="0.2">
      <c r="A85" s="10" t="s">
        <v>30</v>
      </c>
      <c r="B85" s="10" t="s">
        <v>28</v>
      </c>
      <c r="C85" s="9">
        <f>C69</f>
        <v>2628591.1466666665</v>
      </c>
      <c r="D85" s="73">
        <f>MIN(D78+'Variables y Resumen'!$B$7,'Variables y Resumen'!$B$12)</f>
        <v>6.5</v>
      </c>
      <c r="E85" s="39">
        <v>43539</v>
      </c>
      <c r="F85" s="39">
        <v>43724</v>
      </c>
      <c r="G85" s="41">
        <f>IF('Variables y Resumen'!$B$3=360,DAYS360(E85,F85),F85-E85)</f>
        <v>185</v>
      </c>
      <c r="H85" s="48">
        <f>IF('Variables y Resumen'!$B$11="SI",C85*D85%/MID($H$16,8,3)*G85,0)</f>
        <v>87802.245940740744</v>
      </c>
      <c r="I85" s="90"/>
      <c r="J85" s="90"/>
      <c r="K85" s="90"/>
    </row>
    <row r="86" spans="1:11" x14ac:dyDescent="0.2">
      <c r="A86" s="10" t="s">
        <v>30</v>
      </c>
      <c r="B86" s="10" t="s">
        <v>28</v>
      </c>
      <c r="C86" s="9">
        <f>E69</f>
        <v>46521.466996527772</v>
      </c>
      <c r="D86" s="73">
        <f>D85</f>
        <v>6.5</v>
      </c>
      <c r="E86" s="39">
        <v>43539</v>
      </c>
      <c r="F86" s="39">
        <v>43724</v>
      </c>
      <c r="G86" s="41">
        <f>IF('Variables y Resumen'!$B$3=360,DAYS360(E86,F86),F86-E86)</f>
        <v>185</v>
      </c>
      <c r="H86" s="48">
        <f>IF('Variables y Resumen'!$B$11="SI",C86*D86%/MID($H$16,8,3)*G86,0)</f>
        <v>1553.9462239812401</v>
      </c>
      <c r="I86" s="98"/>
      <c r="J86" s="98"/>
      <c r="K86" s="98"/>
    </row>
    <row r="87" spans="1:11" x14ac:dyDescent="0.2">
      <c r="A87" s="10" t="s">
        <v>31</v>
      </c>
      <c r="B87" s="10" t="s">
        <v>28</v>
      </c>
      <c r="C87" s="9">
        <f>D69</f>
        <v>10000</v>
      </c>
      <c r="D87" s="73">
        <f>D86</f>
        <v>6.5</v>
      </c>
      <c r="E87" s="39">
        <v>43539</v>
      </c>
      <c r="F87" s="39">
        <v>43724</v>
      </c>
      <c r="G87" s="41">
        <f>IF('Variables y Resumen'!$B$3=360,DAYS360(E87,F87),F87-E87)</f>
        <v>185</v>
      </c>
      <c r="H87" s="48">
        <f>IF('Variables y Resumen'!$B$10="SI",C87*D87%/MID($H$16,8,3)*G87,0)</f>
        <v>334.02777777777777</v>
      </c>
      <c r="I87" s="90"/>
      <c r="J87" s="90"/>
      <c r="K87" s="90"/>
    </row>
    <row r="88" spans="1:11" x14ac:dyDescent="0.2">
      <c r="A88" s="8" t="s">
        <v>1</v>
      </c>
      <c r="B88" s="8" t="s">
        <v>2</v>
      </c>
      <c r="C88" s="8" t="s">
        <v>2</v>
      </c>
      <c r="D88" s="7" t="s">
        <v>2</v>
      </c>
      <c r="E88" s="7" t="s">
        <v>2</v>
      </c>
      <c r="F88" s="7" t="s">
        <v>2</v>
      </c>
      <c r="G88" s="7" t="s">
        <v>2</v>
      </c>
      <c r="H88" s="13">
        <f>SUM(H84:H87)</f>
        <v>97727.763345277577</v>
      </c>
      <c r="I88" s="99"/>
      <c r="J88" s="99"/>
      <c r="K88" s="99"/>
    </row>
    <row r="91" spans="1:11" x14ac:dyDescent="0.2">
      <c r="A91" s="174" t="s">
        <v>33</v>
      </c>
      <c r="B91" s="175"/>
      <c r="C91" s="175"/>
    </row>
    <row r="92" spans="1:11" x14ac:dyDescent="0.2">
      <c r="A92" s="7" t="s">
        <v>23</v>
      </c>
      <c r="B92" s="7" t="s">
        <v>36</v>
      </c>
      <c r="C92" s="7" t="s">
        <v>110</v>
      </c>
      <c r="D92" s="7" t="s">
        <v>82</v>
      </c>
    </row>
    <row r="93" spans="1:11" x14ac:dyDescent="0.2">
      <c r="A93" s="10" t="s">
        <v>111</v>
      </c>
      <c r="B93" s="9">
        <f>D63</f>
        <v>10000</v>
      </c>
      <c r="C93" s="48">
        <f>IF('Variables y Resumen'!$B$9="SI",0,0)</f>
        <v>0</v>
      </c>
      <c r="D93" s="9">
        <f>SUM(B93:C93)</f>
        <v>10000</v>
      </c>
    </row>
    <row r="94" spans="1:11" x14ac:dyDescent="0.2">
      <c r="A94" s="10" t="s">
        <v>82</v>
      </c>
      <c r="B94" s="13">
        <f>SUM(B93)</f>
        <v>10000</v>
      </c>
      <c r="C94" s="13">
        <f t="shared" ref="C94:D94" si="7">SUM(C93)</f>
        <v>0</v>
      </c>
      <c r="D94" s="13">
        <f t="shared" si="7"/>
        <v>10000</v>
      </c>
    </row>
    <row r="95" spans="1:11" x14ac:dyDescent="0.2">
      <c r="A95" s="14" t="s">
        <v>0</v>
      </c>
    </row>
    <row r="96" spans="1:11" ht="15" x14ac:dyDescent="0.2">
      <c r="A96" s="34">
        <f>B65</f>
        <v>43724</v>
      </c>
      <c r="B96" s="34">
        <v>43906</v>
      </c>
      <c r="C96" s="5"/>
      <c r="D96" s="5"/>
      <c r="E96" s="28"/>
      <c r="F96" s="28"/>
      <c r="G96" s="28"/>
      <c r="H96" s="5"/>
      <c r="I96" s="5"/>
      <c r="J96" s="5"/>
      <c r="K96" s="5"/>
    </row>
    <row r="97" spans="1:14" x14ac:dyDescent="0.2">
      <c r="A97" s="16" t="s">
        <v>0</v>
      </c>
    </row>
    <row r="98" spans="1:14" x14ac:dyDescent="0.2">
      <c r="A98" s="176" t="s">
        <v>34</v>
      </c>
      <c r="B98" s="175"/>
      <c r="C98" s="175"/>
      <c r="D98" s="175"/>
      <c r="E98" s="175"/>
      <c r="F98" s="175"/>
    </row>
    <row r="99" spans="1:14" ht="25.5" x14ac:dyDescent="0.2">
      <c r="A99" s="7" t="s">
        <v>23</v>
      </c>
      <c r="B99" s="7" t="s">
        <v>16</v>
      </c>
      <c r="C99" s="7" t="s">
        <v>17</v>
      </c>
      <c r="D99" s="7" t="s">
        <v>19</v>
      </c>
      <c r="E99" s="7" t="s">
        <v>63</v>
      </c>
      <c r="F99" s="7" t="s">
        <v>1</v>
      </c>
    </row>
    <row r="100" spans="1:14" x14ac:dyDescent="0.2">
      <c r="A100" s="8" t="s">
        <v>36</v>
      </c>
      <c r="B100" s="9">
        <f>B71</f>
        <v>18750000</v>
      </c>
      <c r="C100" s="9">
        <f>C71</f>
        <v>3857082.6831249995</v>
      </c>
      <c r="D100" s="9">
        <f>B125</f>
        <v>10000</v>
      </c>
      <c r="E100" s="38">
        <f>E71</f>
        <v>144249.23034180535</v>
      </c>
      <c r="F100" s="38">
        <f>SUM(B100:E100)</f>
        <v>22761331.913466807</v>
      </c>
      <c r="H100" s="31"/>
      <c r="I100" s="31"/>
      <c r="J100" s="31"/>
      <c r="K100" s="31"/>
    </row>
    <row r="101" spans="1:14" x14ac:dyDescent="0.2">
      <c r="A101" s="8" t="s">
        <v>110</v>
      </c>
      <c r="B101" s="9">
        <v>6250000</v>
      </c>
      <c r="C101" s="9">
        <f>H110</f>
        <v>1035290.8854166666</v>
      </c>
      <c r="D101" s="9">
        <f>C125</f>
        <v>10000</v>
      </c>
      <c r="E101" s="38">
        <f>H119</f>
        <v>230317.21433697865</v>
      </c>
      <c r="F101" s="38">
        <f>SUM(B101:E101)</f>
        <v>7525608.0997536452</v>
      </c>
    </row>
    <row r="102" spans="1:14" x14ac:dyDescent="0.2">
      <c r="A102" s="8" t="s">
        <v>38</v>
      </c>
      <c r="B102" s="13">
        <f t="shared" ref="B102:E102" si="8">SUM(B100:B101)</f>
        <v>25000000</v>
      </c>
      <c r="C102" s="13">
        <f t="shared" si="8"/>
        <v>4892373.5685416665</v>
      </c>
      <c r="D102" s="13">
        <f t="shared" si="8"/>
        <v>20000</v>
      </c>
      <c r="E102" s="72">
        <f t="shared" si="8"/>
        <v>374566.444678784</v>
      </c>
      <c r="F102" s="72">
        <f>SUM(F100:F101)</f>
        <v>30286940.013220452</v>
      </c>
    </row>
    <row r="106" spans="1:14" x14ac:dyDescent="0.2">
      <c r="A106" s="174" t="s">
        <v>24</v>
      </c>
      <c r="B106" s="175"/>
      <c r="C106" s="175"/>
    </row>
    <row r="107" spans="1:14" ht="25.5" x14ac:dyDescent="0.2">
      <c r="A107" s="7" t="s">
        <v>23</v>
      </c>
      <c r="B107" s="7" t="s">
        <v>27</v>
      </c>
      <c r="C107" s="7" t="s">
        <v>26</v>
      </c>
      <c r="D107" s="7" t="s">
        <v>25</v>
      </c>
      <c r="E107" s="7" t="s">
        <v>21</v>
      </c>
      <c r="F107" s="7" t="s">
        <v>22</v>
      </c>
      <c r="G107" s="7" t="str">
        <f>G82</f>
        <v>Días (365)</v>
      </c>
      <c r="H107" s="7" t="str">
        <f>H82</f>
        <v>Monto (360)</v>
      </c>
      <c r="I107" s="178" t="s">
        <v>139</v>
      </c>
      <c r="J107" s="179"/>
      <c r="K107" s="179"/>
      <c r="L107" s="179"/>
      <c r="M107" s="179"/>
      <c r="N107" s="180"/>
    </row>
    <row r="108" spans="1:14" x14ac:dyDescent="0.2">
      <c r="A108" s="8" t="s">
        <v>17</v>
      </c>
      <c r="B108" s="8"/>
      <c r="C108" s="8"/>
      <c r="D108" s="8"/>
      <c r="E108" s="7"/>
      <c r="F108" s="7"/>
      <c r="G108" s="7"/>
      <c r="H108" s="8"/>
      <c r="I108" s="7" t="s">
        <v>141</v>
      </c>
      <c r="J108" s="7" t="s">
        <v>142</v>
      </c>
      <c r="K108" s="7" t="s">
        <v>135</v>
      </c>
      <c r="L108" s="35" t="s">
        <v>136</v>
      </c>
      <c r="M108" s="35" t="s">
        <v>134</v>
      </c>
      <c r="N108" s="36" t="s">
        <v>137</v>
      </c>
    </row>
    <row r="109" spans="1:14" x14ac:dyDescent="0.2">
      <c r="A109" s="10" t="s">
        <v>13</v>
      </c>
      <c r="B109" s="10" t="s">
        <v>8</v>
      </c>
      <c r="C109" s="9">
        <v>37500000</v>
      </c>
      <c r="D109" s="73">
        <f>MIN('Variables y Resumen'!$B$12,MIN('Variables y Resumen'!$B$5,$I$3)+N109 )</f>
        <v>5.4608749999999997</v>
      </c>
      <c r="E109" s="39">
        <v>43724</v>
      </c>
      <c r="F109" s="39">
        <v>43906</v>
      </c>
      <c r="G109" s="41">
        <f>IF('Variables y Resumen'!$B$3=360,DAYS360(E109,F109),F109-E109)</f>
        <v>182</v>
      </c>
      <c r="H109" s="9">
        <f t="shared" ref="H109" si="9">C109*D109%/MID($H$16,8,3)*G109</f>
        <v>1035290.8854166666</v>
      </c>
      <c r="I109" s="96">
        <f>VLOOKUP(A96,Tabla_Libor,8,0)</f>
        <v>2.0779999999999998</v>
      </c>
      <c r="J109" s="96">
        <f>VLOOKUP(B96,Tabla_Libor,8,0)</f>
        <v>0.84375</v>
      </c>
      <c r="K109" s="96">
        <f>(I109+J109)/2</f>
        <v>1.4608749999999999</v>
      </c>
      <c r="L109" s="51">
        <v>2.048</v>
      </c>
      <c r="M109" s="51">
        <f>MIN(I109:L109)</f>
        <v>0.84375</v>
      </c>
      <c r="N109" s="37">
        <f>HLOOKUP(Selección_Libor,I108:M109,2,0)</f>
        <v>1.4608749999999999</v>
      </c>
    </row>
    <row r="110" spans="1:14" x14ac:dyDescent="0.2">
      <c r="A110" s="8" t="s">
        <v>1</v>
      </c>
      <c r="B110" s="8" t="s">
        <v>2</v>
      </c>
      <c r="C110" s="8" t="s">
        <v>2</v>
      </c>
      <c r="D110" s="8" t="s">
        <v>2</v>
      </c>
      <c r="E110" s="7" t="s">
        <v>2</v>
      </c>
      <c r="F110" s="7" t="s">
        <v>2</v>
      </c>
      <c r="G110" s="7" t="s">
        <v>2</v>
      </c>
      <c r="H110" s="13">
        <f>SUM(H109:H109)</f>
        <v>1035290.8854166666</v>
      </c>
      <c r="I110" s="99"/>
      <c r="J110" s="99"/>
      <c r="K110" s="99"/>
    </row>
    <row r="113" spans="1:11" ht="25.5" x14ac:dyDescent="0.2">
      <c r="A113" s="7" t="s">
        <v>23</v>
      </c>
      <c r="B113" s="7" t="s">
        <v>27</v>
      </c>
      <c r="C113" s="7" t="s">
        <v>26</v>
      </c>
      <c r="D113" s="7" t="s">
        <v>25</v>
      </c>
      <c r="E113" s="7" t="s">
        <v>21</v>
      </c>
      <c r="F113" s="7" t="s">
        <v>22</v>
      </c>
      <c r="G113" s="7" t="str">
        <f>G107</f>
        <v>Días (365)</v>
      </c>
      <c r="H113" s="7" t="str">
        <f>H107</f>
        <v>Monto (360)</v>
      </c>
      <c r="I113" s="92"/>
      <c r="J113" s="92"/>
      <c r="K113" s="92"/>
    </row>
    <row r="114" spans="1:11" x14ac:dyDescent="0.2">
      <c r="A114" s="8" t="s">
        <v>20</v>
      </c>
      <c r="B114" s="8"/>
      <c r="C114" s="8"/>
      <c r="D114" s="8"/>
      <c r="E114" s="7"/>
      <c r="F114" s="7"/>
      <c r="G114" s="7"/>
      <c r="H114" s="8"/>
      <c r="I114" s="100"/>
      <c r="J114" s="100"/>
      <c r="K114" s="100"/>
    </row>
    <row r="115" spans="1:11" x14ac:dyDescent="0.2">
      <c r="A115" s="10" t="s">
        <v>29</v>
      </c>
      <c r="B115" s="10" t="s">
        <v>28</v>
      </c>
      <c r="C115" s="9">
        <f>B100</f>
        <v>18750000</v>
      </c>
      <c r="D115" s="73">
        <f>MIN('Variables y Resumen'!$B$7,'Variables y Resumen'!$B$12-D109)</f>
        <v>1.0391250000000003</v>
      </c>
      <c r="E115" s="39">
        <v>43724</v>
      </c>
      <c r="F115" s="39">
        <v>43906</v>
      </c>
      <c r="G115" s="41">
        <f>IF('Variables y Resumen'!$B$3=360,DAYS360(E115,F115),F115-E115)</f>
        <v>182</v>
      </c>
      <c r="H115" s="9">
        <f t="shared" ref="H115" si="10">C115*D115%/MID($H$16,8,3)*G115</f>
        <v>98500.390625000015</v>
      </c>
      <c r="I115" s="98"/>
      <c r="J115" s="98"/>
      <c r="K115" s="98"/>
    </row>
    <row r="116" spans="1:11" x14ac:dyDescent="0.2">
      <c r="A116" s="10" t="s">
        <v>30</v>
      </c>
      <c r="B116" s="10" t="s">
        <v>28</v>
      </c>
      <c r="C116" s="9">
        <f>C100</f>
        <v>3857082.6831249995</v>
      </c>
      <c r="D116" s="73">
        <f>MIN(D109+'Variables y Resumen'!$B$7,'Variables y Resumen'!$B$12)</f>
        <v>6.5</v>
      </c>
      <c r="E116" s="39">
        <v>43724</v>
      </c>
      <c r="F116" s="39">
        <v>43906</v>
      </c>
      <c r="G116" s="41">
        <f>IF('Variables y Resumen'!$B$3=360,DAYS360(E116,F116),F116-E116)</f>
        <v>182</v>
      </c>
      <c r="H116" s="48">
        <f>IF('Variables y Resumen'!$B$11="SI",C116*D116%/MID($H$16,8,3)*G116,0)</f>
        <v>126748.02261491319</v>
      </c>
      <c r="I116" s="90"/>
      <c r="J116" s="90"/>
      <c r="K116" s="90"/>
    </row>
    <row r="117" spans="1:11" x14ac:dyDescent="0.2">
      <c r="A117" s="10" t="s">
        <v>30</v>
      </c>
      <c r="B117" s="10" t="s">
        <v>28</v>
      </c>
      <c r="C117" s="9">
        <f>E100</f>
        <v>144249.23034180535</v>
      </c>
      <c r="D117" s="73">
        <f>D116</f>
        <v>6.5</v>
      </c>
      <c r="E117" s="39">
        <v>43724</v>
      </c>
      <c r="F117" s="39">
        <v>43906</v>
      </c>
      <c r="G117" s="41">
        <f>IF('Variables y Resumen'!$B$3=360,DAYS360(E117,F117),F117-E117)</f>
        <v>182</v>
      </c>
      <c r="H117" s="48">
        <f>IF('Variables y Resumen'!$B$11="SI",C117*D117%/MID($H$16,8,3)*G117,0)</f>
        <v>4740.1899859543255</v>
      </c>
      <c r="I117" s="98"/>
      <c r="J117" s="98"/>
      <c r="K117" s="98"/>
    </row>
    <row r="118" spans="1:11" x14ac:dyDescent="0.2">
      <c r="A118" s="10" t="s">
        <v>31</v>
      </c>
      <c r="B118" s="10" t="s">
        <v>28</v>
      </c>
      <c r="C118" s="9">
        <f>D100</f>
        <v>10000</v>
      </c>
      <c r="D118" s="73">
        <f>D117</f>
        <v>6.5</v>
      </c>
      <c r="E118" s="39">
        <v>43724</v>
      </c>
      <c r="F118" s="39">
        <v>43906</v>
      </c>
      <c r="G118" s="41">
        <f>IF('Variables y Resumen'!$B$3=360,DAYS360(E118,F118),F118-E118)</f>
        <v>182</v>
      </c>
      <c r="H118" s="48">
        <f>IF('Variables y Resumen'!$B$10="SI",C118*D118%/MID($H$16,8,3)*G118,0)</f>
        <v>328.61111111111114</v>
      </c>
      <c r="I118" s="90"/>
      <c r="J118" s="90"/>
      <c r="K118" s="90"/>
    </row>
    <row r="119" spans="1:11" x14ac:dyDescent="0.2">
      <c r="A119" s="8" t="s">
        <v>1</v>
      </c>
      <c r="B119" s="8" t="s">
        <v>2</v>
      </c>
      <c r="C119" s="8" t="s">
        <v>2</v>
      </c>
      <c r="D119" s="8" t="s">
        <v>2</v>
      </c>
      <c r="E119" s="7" t="s">
        <v>2</v>
      </c>
      <c r="F119" s="7" t="s">
        <v>2</v>
      </c>
      <c r="G119" s="7" t="s">
        <v>2</v>
      </c>
      <c r="H119" s="13">
        <f>SUM(H115:H118)</f>
        <v>230317.21433697865</v>
      </c>
      <c r="I119" s="99"/>
      <c r="J119" s="99"/>
      <c r="K119" s="99"/>
    </row>
    <row r="122" spans="1:11" x14ac:dyDescent="0.2">
      <c r="A122" s="174" t="s">
        <v>33</v>
      </c>
      <c r="B122" s="175"/>
      <c r="C122" s="175"/>
    </row>
    <row r="123" spans="1:11" x14ac:dyDescent="0.2">
      <c r="A123" s="7" t="s">
        <v>23</v>
      </c>
      <c r="B123" s="7" t="s">
        <v>36</v>
      </c>
      <c r="C123" s="7" t="s">
        <v>110</v>
      </c>
      <c r="D123" s="7" t="s">
        <v>82</v>
      </c>
    </row>
    <row r="124" spans="1:11" x14ac:dyDescent="0.2">
      <c r="A124" s="10" t="s">
        <v>111</v>
      </c>
      <c r="B124" s="9">
        <f>D94</f>
        <v>10000</v>
      </c>
      <c r="C124" s="48">
        <f>IF('Variables y Resumen'!$B$9="SI",10000,0)</f>
        <v>10000</v>
      </c>
      <c r="D124" s="9">
        <f>SUM(B124:C124)</f>
        <v>20000</v>
      </c>
    </row>
    <row r="125" spans="1:11" x14ac:dyDescent="0.2">
      <c r="A125" s="8" t="s">
        <v>82</v>
      </c>
      <c r="B125" s="13">
        <f>SUM(B124:B124)</f>
        <v>10000</v>
      </c>
      <c r="C125" s="13">
        <f>SUM(C124:C124)</f>
        <v>10000</v>
      </c>
      <c r="D125" s="13">
        <f t="shared" ref="D125" si="11">SUM(D124)</f>
        <v>20000</v>
      </c>
    </row>
    <row r="126" spans="1:11" x14ac:dyDescent="0.2">
      <c r="A126" s="32"/>
      <c r="B126" s="33"/>
      <c r="C126" s="33"/>
    </row>
    <row r="127" spans="1:11" x14ac:dyDescent="0.2">
      <c r="A127" s="17"/>
      <c r="B127" s="33"/>
      <c r="C127" s="33"/>
    </row>
    <row r="128" spans="1:11" ht="15" x14ac:dyDescent="0.2">
      <c r="A128" s="34">
        <f>B96</f>
        <v>43906</v>
      </c>
      <c r="B128" s="34">
        <v>44089</v>
      </c>
      <c r="C128" s="5"/>
      <c r="D128" s="5"/>
      <c r="E128" s="28"/>
      <c r="F128" s="28"/>
      <c r="G128" s="28"/>
      <c r="H128" s="5"/>
      <c r="I128" s="5"/>
      <c r="J128" s="5"/>
      <c r="K128" s="5"/>
    </row>
    <row r="129" spans="1:14" x14ac:dyDescent="0.2">
      <c r="A129" s="176" t="s">
        <v>34</v>
      </c>
      <c r="B129" s="175"/>
      <c r="C129" s="175"/>
      <c r="D129" s="175"/>
      <c r="E129" s="175"/>
      <c r="F129" s="175"/>
    </row>
    <row r="130" spans="1:14" ht="25.5" x14ac:dyDescent="0.2">
      <c r="A130" s="7" t="s">
        <v>23</v>
      </c>
      <c r="B130" s="7" t="s">
        <v>16</v>
      </c>
      <c r="C130" s="7" t="s">
        <v>17</v>
      </c>
      <c r="D130" s="7" t="s">
        <v>19</v>
      </c>
      <c r="E130" s="7" t="s">
        <v>63</v>
      </c>
      <c r="F130" s="7" t="s">
        <v>1</v>
      </c>
    </row>
    <row r="131" spans="1:14" x14ac:dyDescent="0.2">
      <c r="A131" s="8" t="s">
        <v>36</v>
      </c>
      <c r="B131" s="9">
        <f>B102</f>
        <v>25000000</v>
      </c>
      <c r="C131" s="9">
        <f>C102</f>
        <v>4892373.5685416665</v>
      </c>
      <c r="D131" s="9">
        <f>B156</f>
        <v>20000</v>
      </c>
      <c r="E131" s="38">
        <f>E102</f>
        <v>374566.444678784</v>
      </c>
      <c r="F131" s="38">
        <f>SUM(B131:E131)</f>
        <v>30286940.013220452</v>
      </c>
      <c r="H131" s="31"/>
      <c r="I131" s="31"/>
      <c r="J131" s="31"/>
      <c r="K131" s="31"/>
    </row>
    <row r="132" spans="1:14" x14ac:dyDescent="0.2">
      <c r="A132" s="8" t="s">
        <v>110</v>
      </c>
      <c r="B132" s="9">
        <v>6250000</v>
      </c>
      <c r="C132" s="9">
        <f>H141</f>
        <v>868964.06250000012</v>
      </c>
      <c r="D132" s="9">
        <f>C156</f>
        <v>0</v>
      </c>
      <c r="E132" s="38">
        <f>H150</f>
        <v>421421.60127015895</v>
      </c>
      <c r="F132" s="38">
        <f>SUM(B132:E132)</f>
        <v>7540385.6637701588</v>
      </c>
    </row>
    <row r="133" spans="1:14" x14ac:dyDescent="0.2">
      <c r="A133" s="8" t="s">
        <v>38</v>
      </c>
      <c r="B133" s="9">
        <f t="shared" ref="B133:E133" si="12">SUM(B131:B132)</f>
        <v>31250000</v>
      </c>
      <c r="C133" s="9">
        <f t="shared" si="12"/>
        <v>5761337.6310416665</v>
      </c>
      <c r="D133" s="9">
        <f t="shared" si="12"/>
        <v>20000</v>
      </c>
      <c r="E133" s="38">
        <f t="shared" si="12"/>
        <v>795988.04594894289</v>
      </c>
      <c r="F133" s="38">
        <f>SUM(F131:F132)</f>
        <v>37827325.676990613</v>
      </c>
    </row>
    <row r="137" spans="1:14" x14ac:dyDescent="0.2">
      <c r="A137" s="174" t="s">
        <v>24</v>
      </c>
      <c r="B137" s="175"/>
      <c r="C137" s="175"/>
    </row>
    <row r="138" spans="1:14" ht="25.5" x14ac:dyDescent="0.2">
      <c r="A138" s="7" t="s">
        <v>23</v>
      </c>
      <c r="B138" s="7" t="s">
        <v>27</v>
      </c>
      <c r="C138" s="7" t="s">
        <v>26</v>
      </c>
      <c r="D138" s="7" t="s">
        <v>25</v>
      </c>
      <c r="E138" s="7" t="s">
        <v>21</v>
      </c>
      <c r="F138" s="7" t="s">
        <v>22</v>
      </c>
      <c r="G138" s="7" t="str">
        <f>G113</f>
        <v>Días (365)</v>
      </c>
      <c r="H138" s="7" t="str">
        <f>H113</f>
        <v>Monto (360)</v>
      </c>
      <c r="I138" s="178" t="s">
        <v>139</v>
      </c>
      <c r="J138" s="179"/>
      <c r="K138" s="179"/>
      <c r="L138" s="179"/>
      <c r="M138" s="179"/>
      <c r="N138" s="180"/>
    </row>
    <row r="139" spans="1:14" ht="18" customHeight="1" x14ac:dyDescent="0.2">
      <c r="A139" s="8" t="s">
        <v>17</v>
      </c>
      <c r="B139" s="8"/>
      <c r="C139" s="8"/>
      <c r="D139" s="8"/>
      <c r="E139" s="7"/>
      <c r="F139" s="7"/>
      <c r="G139" s="7"/>
      <c r="H139" s="8"/>
      <c r="I139" s="7" t="s">
        <v>141</v>
      </c>
      <c r="J139" s="7" t="s">
        <v>142</v>
      </c>
      <c r="K139" s="7" t="s">
        <v>135</v>
      </c>
      <c r="L139" s="35" t="s">
        <v>136</v>
      </c>
      <c r="M139" s="35" t="s">
        <v>134</v>
      </c>
      <c r="N139" s="36" t="s">
        <v>137</v>
      </c>
    </row>
    <row r="140" spans="1:14" x14ac:dyDescent="0.2">
      <c r="A140" s="10" t="s">
        <v>13</v>
      </c>
      <c r="B140" s="10" t="s">
        <v>8</v>
      </c>
      <c r="C140" s="9">
        <v>37500000</v>
      </c>
      <c r="D140" s="73">
        <f>MIN('Variables y Resumen'!$B$12,MIN('Variables y Resumen'!$B$5,$I$3)+N140 )</f>
        <v>4.5585000000000004</v>
      </c>
      <c r="E140" s="39">
        <v>43906</v>
      </c>
      <c r="F140" s="39">
        <v>44089</v>
      </c>
      <c r="G140" s="41">
        <f>IF('Variables y Resumen'!$B$3=360,DAYS360(E140,F140),F140-E140)</f>
        <v>183</v>
      </c>
      <c r="H140" s="9">
        <f t="shared" ref="H140" si="13">C140*D140%/MID($H$16,8,3)*G140</f>
        <v>868964.06250000012</v>
      </c>
      <c r="I140" s="96">
        <f>VLOOKUP(A128,Tabla_Libor,8,0)</f>
        <v>0.84375</v>
      </c>
      <c r="J140" s="96">
        <f>VLOOKUP(B128,Tabla_Libor,8,0)</f>
        <v>0.27324999999999999</v>
      </c>
      <c r="K140" s="96">
        <f>(I140+J140)/2</f>
        <v>0.5585</v>
      </c>
      <c r="L140" s="51">
        <v>0.73799999999999999</v>
      </c>
      <c r="M140" s="51">
        <f>MIN(I140:L140)</f>
        <v>0.27324999999999999</v>
      </c>
      <c r="N140" s="37">
        <f>HLOOKUP(Selección_Libor,I139:M140,2,0)</f>
        <v>0.5585</v>
      </c>
    </row>
    <row r="141" spans="1:14" x14ac:dyDescent="0.2">
      <c r="A141" s="8" t="s">
        <v>1</v>
      </c>
      <c r="B141" s="8" t="s">
        <v>2</v>
      </c>
      <c r="C141" s="8" t="s">
        <v>2</v>
      </c>
      <c r="D141" s="8" t="s">
        <v>2</v>
      </c>
      <c r="E141" s="7" t="s">
        <v>2</v>
      </c>
      <c r="F141" s="7" t="s">
        <v>2</v>
      </c>
      <c r="G141" s="7" t="s">
        <v>2</v>
      </c>
      <c r="H141" s="13">
        <f>SUM(H140:H140)</f>
        <v>868964.06250000012</v>
      </c>
      <c r="I141" s="99"/>
      <c r="J141" s="99"/>
      <c r="K141" s="99"/>
    </row>
    <row r="144" spans="1:14" ht="25.5" x14ac:dyDescent="0.2">
      <c r="A144" s="7" t="s">
        <v>23</v>
      </c>
      <c r="B144" s="7" t="s">
        <v>27</v>
      </c>
      <c r="C144" s="7" t="s">
        <v>26</v>
      </c>
      <c r="D144" s="7" t="s">
        <v>25</v>
      </c>
      <c r="E144" s="7" t="s">
        <v>21</v>
      </c>
      <c r="F144" s="7" t="s">
        <v>22</v>
      </c>
      <c r="G144" s="7" t="str">
        <f>G138</f>
        <v>Días (365)</v>
      </c>
      <c r="H144" s="7" t="str">
        <f>H138</f>
        <v>Monto (360)</v>
      </c>
      <c r="I144" s="92"/>
      <c r="J144" s="92"/>
      <c r="K144" s="92"/>
    </row>
    <row r="145" spans="1:11" x14ac:dyDescent="0.2">
      <c r="A145" s="8" t="s">
        <v>20</v>
      </c>
      <c r="B145" s="8"/>
      <c r="C145" s="8"/>
      <c r="D145" s="8"/>
      <c r="E145" s="7"/>
      <c r="F145" s="7"/>
      <c r="G145" s="7"/>
      <c r="H145" s="8"/>
      <c r="I145" s="100"/>
      <c r="J145" s="100"/>
      <c r="K145" s="100"/>
    </row>
    <row r="146" spans="1:11" x14ac:dyDescent="0.2">
      <c r="A146" s="10" t="s">
        <v>29</v>
      </c>
      <c r="B146" s="10" t="s">
        <v>28</v>
      </c>
      <c r="C146" s="9">
        <f>B131</f>
        <v>25000000</v>
      </c>
      <c r="D146" s="73">
        <f>MIN('Variables y Resumen'!$B$7,'Variables y Resumen'!$B$12-D140)</f>
        <v>1.9414999999999996</v>
      </c>
      <c r="E146" s="39">
        <v>43906</v>
      </c>
      <c r="F146" s="39">
        <v>44089</v>
      </c>
      <c r="G146" s="41">
        <f>IF('Variables y Resumen'!$B$3=360,DAYS360(E146,F146),F146-E146)</f>
        <v>183</v>
      </c>
      <c r="H146" s="9">
        <f t="shared" ref="H146" si="14">C146*D146%/MID($H$16,8,3)*G146</f>
        <v>246732.2916666666</v>
      </c>
      <c r="I146" s="98"/>
      <c r="J146" s="98"/>
      <c r="K146" s="98"/>
    </row>
    <row r="147" spans="1:11" x14ac:dyDescent="0.2">
      <c r="A147" s="10" t="s">
        <v>30</v>
      </c>
      <c r="B147" s="10" t="s">
        <v>28</v>
      </c>
      <c r="C147" s="9">
        <f>C131</f>
        <v>4892373.5685416665</v>
      </c>
      <c r="D147" s="73">
        <f>MIN(D140+'Variables y Resumen'!$B$7,'Variables y Resumen'!$B$12)</f>
        <v>6.5</v>
      </c>
      <c r="E147" s="39">
        <v>43906</v>
      </c>
      <c r="F147" s="39">
        <v>44089</v>
      </c>
      <c r="G147" s="41">
        <f>IF('Variables y Resumen'!$B$3=360,DAYS360(E147,F147),F147-E147)</f>
        <v>183</v>
      </c>
      <c r="H147" s="48">
        <f>IF('Variables y Resumen'!$B$11="SI",C147*D147%/MID($H$16,8,3)*G147,0)</f>
        <v>161652.17666056423</v>
      </c>
      <c r="I147" s="90"/>
      <c r="J147" s="90"/>
      <c r="K147" s="90"/>
    </row>
    <row r="148" spans="1:11" x14ac:dyDescent="0.2">
      <c r="A148" s="10" t="s">
        <v>30</v>
      </c>
      <c r="B148" s="10" t="s">
        <v>28</v>
      </c>
      <c r="C148" s="9">
        <f>E131</f>
        <v>374566.444678784</v>
      </c>
      <c r="D148" s="73">
        <f>D147</f>
        <v>6.5</v>
      </c>
      <c r="E148" s="39">
        <v>43906</v>
      </c>
      <c r="F148" s="39">
        <v>44089</v>
      </c>
      <c r="G148" s="41">
        <f>IF('Variables y Resumen'!$B$3=360,DAYS360(E148,F148),F148-E148)</f>
        <v>183</v>
      </c>
      <c r="H148" s="48">
        <f>IF('Variables y Resumen'!$B$11="SI",C148*D148%/MID($H$16,8,3)*G148,0)</f>
        <v>12376.299609594822</v>
      </c>
      <c r="I148" s="98"/>
      <c r="J148" s="98"/>
      <c r="K148" s="98"/>
    </row>
    <row r="149" spans="1:11" x14ac:dyDescent="0.2">
      <c r="A149" s="10" t="s">
        <v>31</v>
      </c>
      <c r="B149" s="10" t="s">
        <v>28</v>
      </c>
      <c r="C149" s="9">
        <f>D131</f>
        <v>20000</v>
      </c>
      <c r="D149" s="73">
        <f>D148</f>
        <v>6.5</v>
      </c>
      <c r="E149" s="39">
        <v>43906</v>
      </c>
      <c r="F149" s="39">
        <v>44089</v>
      </c>
      <c r="G149" s="41">
        <f>IF('Variables y Resumen'!$B$3=360,DAYS360(E149,F149),F149-E149)</f>
        <v>183</v>
      </c>
      <c r="H149" s="48">
        <f>IF('Variables y Resumen'!$B$10="SI",C149*D149%/MID($H$16,8,3)*G149,0)</f>
        <v>660.83333333333337</v>
      </c>
      <c r="I149" s="90"/>
      <c r="J149" s="90"/>
      <c r="K149" s="90"/>
    </row>
    <row r="150" spans="1:11" x14ac:dyDescent="0.2">
      <c r="A150" s="8" t="s">
        <v>1</v>
      </c>
      <c r="B150" s="8" t="s">
        <v>2</v>
      </c>
      <c r="C150" s="8" t="s">
        <v>2</v>
      </c>
      <c r="D150" s="8" t="s">
        <v>2</v>
      </c>
      <c r="E150" s="7" t="s">
        <v>2</v>
      </c>
      <c r="F150" s="7" t="s">
        <v>2</v>
      </c>
      <c r="G150" s="7" t="s">
        <v>2</v>
      </c>
      <c r="H150" s="13">
        <f>SUM(H146:H149)</f>
        <v>421421.60127015895</v>
      </c>
      <c r="I150" s="99"/>
      <c r="J150" s="99"/>
      <c r="K150" s="99"/>
    </row>
    <row r="153" spans="1:11" x14ac:dyDescent="0.2">
      <c r="A153" s="174" t="s">
        <v>33</v>
      </c>
      <c r="B153" s="175"/>
      <c r="C153" s="175"/>
    </row>
    <row r="154" spans="1:11" x14ac:dyDescent="0.2">
      <c r="A154" s="7" t="s">
        <v>23</v>
      </c>
      <c r="B154" s="7" t="s">
        <v>36</v>
      </c>
      <c r="C154" s="7" t="s">
        <v>110</v>
      </c>
      <c r="D154" s="7" t="s">
        <v>82</v>
      </c>
    </row>
    <row r="155" spans="1:11" x14ac:dyDescent="0.2">
      <c r="A155" s="10" t="s">
        <v>111</v>
      </c>
      <c r="B155" s="9">
        <f>D125</f>
        <v>20000</v>
      </c>
      <c r="C155" s="48">
        <f>IF('Variables y Resumen'!$B$9="SI",0,0)</f>
        <v>0</v>
      </c>
      <c r="D155" s="9">
        <f>SUM(B155:C155)</f>
        <v>20000</v>
      </c>
    </row>
    <row r="156" spans="1:11" x14ac:dyDescent="0.2">
      <c r="A156" s="8" t="s">
        <v>82</v>
      </c>
      <c r="B156" s="13">
        <f>SUM(B155:B155)</f>
        <v>20000</v>
      </c>
      <c r="C156" s="13">
        <f>SUM(C155:C155)</f>
        <v>0</v>
      </c>
      <c r="D156" s="13">
        <f t="shared" ref="D156" si="15">SUM(D155)</f>
        <v>20000</v>
      </c>
    </row>
    <row r="159" spans="1:11" ht="15" x14ac:dyDescent="0.2">
      <c r="A159" s="34">
        <f>B128</f>
        <v>44089</v>
      </c>
      <c r="B159" s="34">
        <v>44231</v>
      </c>
      <c r="C159" s="5"/>
      <c r="D159" s="5"/>
      <c r="E159" s="28"/>
      <c r="F159" s="28"/>
      <c r="G159" s="28"/>
      <c r="H159" s="5"/>
      <c r="I159" s="5"/>
      <c r="J159" s="5"/>
      <c r="K159" s="5"/>
    </row>
    <row r="160" spans="1:11" x14ac:dyDescent="0.2">
      <c r="A160" s="176" t="s">
        <v>34</v>
      </c>
      <c r="B160" s="175"/>
      <c r="C160" s="175"/>
      <c r="D160" s="175"/>
      <c r="E160" s="175"/>
      <c r="F160" s="175"/>
    </row>
    <row r="161" spans="1:14" ht="25.5" x14ac:dyDescent="0.2">
      <c r="A161" s="7" t="s">
        <v>23</v>
      </c>
      <c r="B161" s="7" t="s">
        <v>16</v>
      </c>
      <c r="C161" s="7" t="s">
        <v>17</v>
      </c>
      <c r="D161" s="7" t="s">
        <v>19</v>
      </c>
      <c r="E161" s="7" t="s">
        <v>63</v>
      </c>
      <c r="F161" s="7" t="s">
        <v>1</v>
      </c>
    </row>
    <row r="162" spans="1:14" x14ac:dyDescent="0.2">
      <c r="A162" s="8" t="s">
        <v>36</v>
      </c>
      <c r="B162" s="9">
        <f>B133</f>
        <v>31250000</v>
      </c>
      <c r="C162" s="9">
        <f>C133</f>
        <v>5761337.6310416665</v>
      </c>
      <c r="D162" s="9">
        <f>D133</f>
        <v>20000</v>
      </c>
      <c r="E162" s="38">
        <f>E133</f>
        <v>795988.04594894289</v>
      </c>
      <c r="F162" s="38">
        <f>SUM(B162:E162)</f>
        <v>37827325.676990613</v>
      </c>
      <c r="H162" s="31"/>
      <c r="I162" s="31"/>
      <c r="J162" s="31"/>
      <c r="K162" s="31"/>
    </row>
    <row r="163" spans="1:14" x14ac:dyDescent="0.2">
      <c r="A163" s="8" t="s">
        <v>110</v>
      </c>
      <c r="B163" s="18">
        <v>6250000</v>
      </c>
      <c r="C163" s="9">
        <f>H172</f>
        <v>628331.51041666663</v>
      </c>
      <c r="D163" s="9">
        <v>0</v>
      </c>
      <c r="E163" s="38">
        <f>H181</f>
        <v>408621.99528628151</v>
      </c>
      <c r="F163" s="38">
        <f>SUM(B163:E163)</f>
        <v>7286953.5057029482</v>
      </c>
    </row>
    <row r="164" spans="1:14" x14ac:dyDescent="0.2">
      <c r="A164" s="8" t="s">
        <v>38</v>
      </c>
      <c r="B164" s="9">
        <f t="shared" ref="B164" si="16">SUM(B162:B163)</f>
        <v>37500000</v>
      </c>
      <c r="C164" s="9">
        <f t="shared" ref="C164" si="17">SUM(C162:C163)</f>
        <v>6389669.1414583335</v>
      </c>
      <c r="D164" s="9">
        <f t="shared" ref="D164" si="18">SUM(D162:D163)</f>
        <v>20000</v>
      </c>
      <c r="E164" s="38">
        <f t="shared" ref="E164" si="19">SUM(E162:E163)</f>
        <v>1204610.0412352243</v>
      </c>
      <c r="F164" s="38">
        <f t="shared" ref="F164" si="20">SUM(F162:F163)</f>
        <v>45114279.182693563</v>
      </c>
    </row>
    <row r="168" spans="1:14" x14ac:dyDescent="0.2">
      <c r="A168" s="174" t="s">
        <v>24</v>
      </c>
      <c r="B168" s="175"/>
      <c r="C168" s="175"/>
    </row>
    <row r="169" spans="1:14" ht="25.5" x14ac:dyDescent="0.2">
      <c r="A169" s="7" t="s">
        <v>23</v>
      </c>
      <c r="B169" s="7" t="s">
        <v>27</v>
      </c>
      <c r="C169" s="7" t="s">
        <v>26</v>
      </c>
      <c r="D169" s="7" t="s">
        <v>25</v>
      </c>
      <c r="E169" s="7" t="s">
        <v>21</v>
      </c>
      <c r="F169" s="7" t="s">
        <v>22</v>
      </c>
      <c r="G169" s="7" t="str">
        <f>G144</f>
        <v>Días (365)</v>
      </c>
      <c r="H169" s="7" t="str">
        <f>H144</f>
        <v>Monto (360)</v>
      </c>
      <c r="I169" s="178" t="s">
        <v>139</v>
      </c>
      <c r="J169" s="179"/>
      <c r="K169" s="179"/>
      <c r="L169" s="179"/>
      <c r="M169" s="179"/>
      <c r="N169" s="180"/>
    </row>
    <row r="170" spans="1:14" ht="18" customHeight="1" x14ac:dyDescent="0.2">
      <c r="A170" s="8" t="s">
        <v>17</v>
      </c>
      <c r="B170" s="8"/>
      <c r="C170" s="8"/>
      <c r="D170" s="8"/>
      <c r="E170" s="7"/>
      <c r="F170" s="7"/>
      <c r="G170" s="7"/>
      <c r="H170" s="8"/>
      <c r="I170" s="7" t="s">
        <v>141</v>
      </c>
      <c r="J170" s="7" t="s">
        <v>142</v>
      </c>
      <c r="K170" s="7" t="s">
        <v>135</v>
      </c>
      <c r="L170" s="35" t="s">
        <v>136</v>
      </c>
      <c r="M170" s="35" t="s">
        <v>134</v>
      </c>
      <c r="N170" s="36" t="s">
        <v>137</v>
      </c>
    </row>
    <row r="171" spans="1:14" ht="19.5" customHeight="1" x14ac:dyDescent="0.2">
      <c r="A171" s="10" t="s">
        <v>13</v>
      </c>
      <c r="B171" s="10" t="s">
        <v>8</v>
      </c>
      <c r="C171" s="9">
        <v>37500000</v>
      </c>
      <c r="D171" s="73">
        <f>MIN('Variables y Resumen'!$B$12,MIN('Variables y Resumen'!$B$5,$I$3)+N171 )</f>
        <v>4.2478749999999996</v>
      </c>
      <c r="E171" s="39">
        <v>44089</v>
      </c>
      <c r="F171" s="40">
        <f>B159</f>
        <v>44231</v>
      </c>
      <c r="G171" s="41">
        <f>IF('Variables y Resumen'!$B$3=360,DAYS360(E171,F171),F171-E171)</f>
        <v>142</v>
      </c>
      <c r="H171" s="9">
        <f t="shared" ref="H171" si="21">C171*D171%/MID($H$16,8,3)*G171</f>
        <v>628331.51041666663</v>
      </c>
      <c r="I171" s="96">
        <f>VLOOKUP(A159,Tabla_Libor,8,0)</f>
        <v>0.27324999999999999</v>
      </c>
      <c r="J171" s="96">
        <f>VLOOKUP(B159,Tabla_Libor,8,0)</f>
        <v>0.2225</v>
      </c>
      <c r="K171" s="96">
        <f>(I171+J171)/2</f>
        <v>0.24787500000000001</v>
      </c>
      <c r="L171" s="51">
        <v>0.28199999999999997</v>
      </c>
      <c r="M171" s="51">
        <f>MIN(I171:L171)</f>
        <v>0.2225</v>
      </c>
      <c r="N171" s="37">
        <f>HLOOKUP(Selección_Libor,I170:M171,2,0)</f>
        <v>0.24787500000000001</v>
      </c>
    </row>
    <row r="172" spans="1:14" x14ac:dyDescent="0.2">
      <c r="A172" s="8" t="s">
        <v>1</v>
      </c>
      <c r="B172" s="8" t="s">
        <v>2</v>
      </c>
      <c r="C172" s="8" t="s">
        <v>2</v>
      </c>
      <c r="D172" s="8" t="s">
        <v>2</v>
      </c>
      <c r="E172" s="7" t="s">
        <v>2</v>
      </c>
      <c r="F172" s="7" t="s">
        <v>2</v>
      </c>
      <c r="G172" s="7" t="s">
        <v>2</v>
      </c>
      <c r="H172" s="13">
        <f>SUM(H171:H171)</f>
        <v>628331.51041666663</v>
      </c>
      <c r="I172" s="99"/>
      <c r="J172" s="99"/>
      <c r="K172" s="99"/>
    </row>
    <row r="175" spans="1:14" ht="25.5" x14ac:dyDescent="0.2">
      <c r="A175" s="7" t="s">
        <v>23</v>
      </c>
      <c r="B175" s="7" t="s">
        <v>27</v>
      </c>
      <c r="C175" s="7" t="s">
        <v>26</v>
      </c>
      <c r="D175" s="7" t="s">
        <v>25</v>
      </c>
      <c r="E175" s="7" t="s">
        <v>21</v>
      </c>
      <c r="F175" s="7" t="s">
        <v>22</v>
      </c>
      <c r="G175" s="7" t="str">
        <f>G169</f>
        <v>Días (365)</v>
      </c>
      <c r="H175" s="7" t="str">
        <f>H169</f>
        <v>Monto (360)</v>
      </c>
      <c r="I175" s="92"/>
      <c r="J175" s="92"/>
      <c r="K175" s="92"/>
    </row>
    <row r="176" spans="1:14" x14ac:dyDescent="0.2">
      <c r="A176" s="8" t="s">
        <v>20</v>
      </c>
      <c r="B176" s="8"/>
      <c r="C176" s="8"/>
      <c r="D176" s="8"/>
      <c r="E176" s="7"/>
      <c r="F176" s="7"/>
      <c r="G176" s="7"/>
      <c r="H176" s="8"/>
      <c r="I176" s="100"/>
      <c r="J176" s="100"/>
      <c r="K176" s="100"/>
    </row>
    <row r="177" spans="1:11" x14ac:dyDescent="0.2">
      <c r="A177" s="10" t="s">
        <v>29</v>
      </c>
      <c r="B177" s="10" t="s">
        <v>28</v>
      </c>
      <c r="C177" s="9">
        <f>B162</f>
        <v>31250000</v>
      </c>
      <c r="D177" s="73">
        <f>MIN('Variables y Resumen'!$B$7,'Variables y Resumen'!$B$12-D171)</f>
        <v>2</v>
      </c>
      <c r="E177" s="39">
        <f>E171</f>
        <v>44089</v>
      </c>
      <c r="F177" s="39">
        <f>F171</f>
        <v>44231</v>
      </c>
      <c r="G177" s="41">
        <f>IF('Variables y Resumen'!$B$3=360,DAYS360(E177,F177),F177-E177)</f>
        <v>142</v>
      </c>
      <c r="H177" s="9">
        <f t="shared" ref="H177" si="22">C177*D177%/MID($H$16,8,3)*G177</f>
        <v>246527.77777777778</v>
      </c>
      <c r="I177" s="98"/>
      <c r="J177" s="98"/>
      <c r="K177" s="98"/>
    </row>
    <row r="178" spans="1:11" x14ac:dyDescent="0.2">
      <c r="A178" s="10" t="s">
        <v>30</v>
      </c>
      <c r="B178" s="10" t="s">
        <v>28</v>
      </c>
      <c r="C178" s="9">
        <f>C162</f>
        <v>5761337.6310416665</v>
      </c>
      <c r="D178" s="73">
        <f>MIN(D171+'Variables y Resumen'!$B$7,'Variables y Resumen'!$B$12)</f>
        <v>6.2478749999999996</v>
      </c>
      <c r="E178" s="39">
        <f>E171</f>
        <v>44089</v>
      </c>
      <c r="F178" s="39">
        <f>F171</f>
        <v>44231</v>
      </c>
      <c r="G178" s="41">
        <f>IF('Variables y Resumen'!$B$3=360,DAYS360(E178,F178),F178-E178)</f>
        <v>142</v>
      </c>
      <c r="H178" s="48">
        <f>IF('Variables y Resumen'!$B$11="SI",C178*D178%/MID($H$16,8,3)*G178,0)</f>
        <v>141984.68510886977</v>
      </c>
      <c r="I178" s="90"/>
      <c r="J178" s="90"/>
      <c r="K178" s="90"/>
    </row>
    <row r="179" spans="1:11" x14ac:dyDescent="0.2">
      <c r="A179" s="10" t="s">
        <v>30</v>
      </c>
      <c r="B179" s="10" t="s">
        <v>28</v>
      </c>
      <c r="C179" s="9">
        <f>E162</f>
        <v>795988.04594894289</v>
      </c>
      <c r="D179" s="73">
        <f>D178</f>
        <v>6.2478749999999996</v>
      </c>
      <c r="E179" s="39">
        <f>E171</f>
        <v>44089</v>
      </c>
      <c r="F179" s="39">
        <f>F171</f>
        <v>44231</v>
      </c>
      <c r="G179" s="41">
        <f>IF('Variables y Resumen'!$B$3=360,DAYS360(E179,F179),F179-E179)</f>
        <v>142</v>
      </c>
      <c r="H179" s="48">
        <f>IF('Variables y Resumen'!$B$11="SI",C179*D179%/MID($H$16,8,3)*G179,0)</f>
        <v>19616.644482967269</v>
      </c>
      <c r="I179" s="98"/>
      <c r="J179" s="98"/>
      <c r="K179" s="98"/>
    </row>
    <row r="180" spans="1:11" x14ac:dyDescent="0.2">
      <c r="A180" s="10" t="s">
        <v>31</v>
      </c>
      <c r="B180" s="10" t="s">
        <v>28</v>
      </c>
      <c r="C180" s="9">
        <f>D162</f>
        <v>20000</v>
      </c>
      <c r="D180" s="73">
        <f>D179</f>
        <v>6.2478749999999996</v>
      </c>
      <c r="E180" s="39">
        <f>E171</f>
        <v>44089</v>
      </c>
      <c r="F180" s="39">
        <f>F171</f>
        <v>44231</v>
      </c>
      <c r="G180" s="41">
        <f>IF('Variables y Resumen'!$B$3=360,DAYS360(E180,F180),F180-E180)</f>
        <v>142</v>
      </c>
      <c r="H180" s="48">
        <f>IF('Variables y Resumen'!$B$10="SI",C180*D180%/MID($H$16,8,3)*G180,0)</f>
        <v>492.88791666666668</v>
      </c>
      <c r="I180" s="90"/>
      <c r="J180" s="90"/>
      <c r="K180" s="90"/>
    </row>
    <row r="181" spans="1:11" x14ac:dyDescent="0.2">
      <c r="A181" s="8" t="s">
        <v>1</v>
      </c>
      <c r="B181" s="8" t="s">
        <v>2</v>
      </c>
      <c r="C181" s="8" t="s">
        <v>2</v>
      </c>
      <c r="D181" s="8" t="s">
        <v>2</v>
      </c>
      <c r="E181" s="7" t="s">
        <v>2</v>
      </c>
      <c r="F181" s="7" t="s">
        <v>2</v>
      </c>
      <c r="G181" s="7" t="s">
        <v>2</v>
      </c>
      <c r="H181" s="13">
        <f>SUM(H177:H180)</f>
        <v>408621.99528628151</v>
      </c>
      <c r="I181" s="99"/>
      <c r="J181" s="99"/>
      <c r="K181" s="99"/>
    </row>
    <row r="184" spans="1:11" x14ac:dyDescent="0.2">
      <c r="A184" s="174" t="s">
        <v>33</v>
      </c>
      <c r="B184" s="175"/>
      <c r="C184" s="175"/>
    </row>
    <row r="185" spans="1:11" x14ac:dyDescent="0.2">
      <c r="A185" s="7" t="s">
        <v>23</v>
      </c>
      <c r="B185" s="7" t="s">
        <v>36</v>
      </c>
      <c r="C185" s="7" t="s">
        <v>110</v>
      </c>
      <c r="D185" s="7" t="s">
        <v>82</v>
      </c>
    </row>
    <row r="186" spans="1:11" x14ac:dyDescent="0.2">
      <c r="A186" s="10" t="s">
        <v>111</v>
      </c>
      <c r="B186" s="9">
        <f>D156</f>
        <v>20000</v>
      </c>
      <c r="C186" s="48">
        <f>IF('Variables y Resumen'!$B$9="SI",0,0)</f>
        <v>0</v>
      </c>
      <c r="D186" s="9">
        <f>SUM(B186:C186)</f>
        <v>20000</v>
      </c>
    </row>
    <row r="187" spans="1:11" x14ac:dyDescent="0.2">
      <c r="A187" s="8" t="s">
        <v>82</v>
      </c>
      <c r="B187" s="13">
        <f>SUM(B186:B186)</f>
        <v>20000</v>
      </c>
      <c r="C187" s="13">
        <f>SUM(C186:C186)</f>
        <v>0</v>
      </c>
      <c r="D187" s="13">
        <f t="shared" ref="D187" si="23">SUM(D186)</f>
        <v>20000</v>
      </c>
    </row>
    <row r="191" spans="1:11" ht="15" x14ac:dyDescent="0.2">
      <c r="A191" s="34">
        <f>B159</f>
        <v>44231</v>
      </c>
      <c r="B191" s="34">
        <v>44270</v>
      </c>
      <c r="C191" s="5"/>
      <c r="D191" s="5"/>
      <c r="E191" s="28"/>
      <c r="F191" s="28"/>
      <c r="G191" s="28"/>
      <c r="H191" s="5"/>
      <c r="I191" s="5"/>
      <c r="J191" s="5"/>
      <c r="K191" s="5"/>
    </row>
    <row r="192" spans="1:11" x14ac:dyDescent="0.2">
      <c r="A192" s="176" t="s">
        <v>34</v>
      </c>
      <c r="B192" s="175"/>
      <c r="C192" s="175"/>
      <c r="D192" s="175"/>
      <c r="E192" s="175"/>
      <c r="F192" s="175"/>
    </row>
    <row r="193" spans="1:14" ht="25.5" x14ac:dyDescent="0.2">
      <c r="A193" s="7" t="s">
        <v>23</v>
      </c>
      <c r="B193" s="7" t="s">
        <v>16</v>
      </c>
      <c r="C193" s="7" t="s">
        <v>17</v>
      </c>
      <c r="D193" s="7" t="s">
        <v>19</v>
      </c>
      <c r="E193" s="7" t="s">
        <v>63</v>
      </c>
      <c r="F193" s="7" t="s">
        <v>1</v>
      </c>
    </row>
    <row r="194" spans="1:14" x14ac:dyDescent="0.2">
      <c r="A194" s="8" t="s">
        <v>36</v>
      </c>
      <c r="B194" s="9">
        <f>B164</f>
        <v>37500000</v>
      </c>
      <c r="C194" s="9">
        <f>C164</f>
        <v>6389669.1414583335</v>
      </c>
      <c r="D194" s="9">
        <f>D164</f>
        <v>20000</v>
      </c>
      <c r="E194" s="38">
        <f>E164</f>
        <v>1204610.0412352243</v>
      </c>
      <c r="F194" s="38">
        <f>SUM(B194:E194)</f>
        <v>45114279.182693556</v>
      </c>
      <c r="H194" s="31"/>
      <c r="I194" s="31"/>
      <c r="J194" s="31"/>
      <c r="K194" s="31"/>
    </row>
    <row r="195" spans="1:14" x14ac:dyDescent="0.2">
      <c r="A195" s="8" t="s">
        <v>110</v>
      </c>
      <c r="B195" s="9">
        <v>0</v>
      </c>
      <c r="C195" s="9">
        <f>H204</f>
        <v>171031.25</v>
      </c>
      <c r="D195" s="9">
        <f>C219</f>
        <v>10000</v>
      </c>
      <c r="E195" s="38">
        <f>H213</f>
        <v>132475.06320157091</v>
      </c>
      <c r="F195" s="38">
        <f>SUM(B195:E195)</f>
        <v>313506.31320157088</v>
      </c>
    </row>
    <row r="196" spans="1:14" x14ac:dyDescent="0.2">
      <c r="A196" s="8" t="s">
        <v>38</v>
      </c>
      <c r="B196" s="9">
        <f t="shared" ref="B196:F196" si="24">SUM(B194:B195)</f>
        <v>37500000</v>
      </c>
      <c r="C196" s="9">
        <f t="shared" si="24"/>
        <v>6560700.3914583335</v>
      </c>
      <c r="D196" s="9">
        <f t="shared" si="24"/>
        <v>30000</v>
      </c>
      <c r="E196" s="38">
        <f t="shared" si="24"/>
        <v>1337085.1044367952</v>
      </c>
      <c r="F196" s="38">
        <f t="shared" si="24"/>
        <v>45427785.495895125</v>
      </c>
    </row>
    <row r="200" spans="1:14" x14ac:dyDescent="0.2">
      <c r="A200" s="174" t="s">
        <v>24</v>
      </c>
      <c r="B200" s="175"/>
      <c r="C200" s="175"/>
    </row>
    <row r="201" spans="1:14" ht="25.5" x14ac:dyDescent="0.2">
      <c r="A201" s="7" t="s">
        <v>23</v>
      </c>
      <c r="B201" s="7" t="s">
        <v>27</v>
      </c>
      <c r="C201" s="7" t="s">
        <v>26</v>
      </c>
      <c r="D201" s="7" t="s">
        <v>25</v>
      </c>
      <c r="E201" s="7" t="s">
        <v>21</v>
      </c>
      <c r="F201" s="7" t="s">
        <v>22</v>
      </c>
      <c r="G201" s="7" t="str">
        <f>G175</f>
        <v>Días (365)</v>
      </c>
      <c r="H201" s="7" t="str">
        <f>H175</f>
        <v>Monto (360)</v>
      </c>
      <c r="I201" s="178" t="s">
        <v>139</v>
      </c>
      <c r="J201" s="179"/>
      <c r="K201" s="179"/>
      <c r="L201" s="179"/>
      <c r="M201" s="179"/>
      <c r="N201" s="180"/>
    </row>
    <row r="202" spans="1:14" ht="18" customHeight="1" x14ac:dyDescent="0.2">
      <c r="A202" s="8" t="s">
        <v>17</v>
      </c>
      <c r="B202" s="8"/>
      <c r="C202" s="8"/>
      <c r="D202" s="8"/>
      <c r="E202" s="7"/>
      <c r="F202" s="7"/>
      <c r="G202" s="7"/>
      <c r="H202" s="8"/>
      <c r="I202" s="7" t="s">
        <v>141</v>
      </c>
      <c r="J202" s="7" t="s">
        <v>142</v>
      </c>
      <c r="K202" s="7" t="s">
        <v>135</v>
      </c>
      <c r="L202" s="35" t="s">
        <v>136</v>
      </c>
      <c r="M202" s="35" t="s">
        <v>134</v>
      </c>
      <c r="N202" s="36" t="s">
        <v>137</v>
      </c>
    </row>
    <row r="203" spans="1:14" x14ac:dyDescent="0.2">
      <c r="A203" s="10" t="s">
        <v>13</v>
      </c>
      <c r="B203" s="10" t="s">
        <v>8</v>
      </c>
      <c r="C203" s="9">
        <v>37500000</v>
      </c>
      <c r="D203" s="73">
        <f>MIN('Variables y Resumen'!$B$12,MIN('Variables y Resumen'!$B$5,$I$3)+N203 )</f>
        <v>4.21</v>
      </c>
      <c r="E203" s="39">
        <v>44231</v>
      </c>
      <c r="F203" s="39">
        <v>44270</v>
      </c>
      <c r="G203" s="41">
        <f>IF('Variables y Resumen'!$B$3=360,DAYS360(E203,F203),F203-E203)</f>
        <v>39</v>
      </c>
      <c r="H203" s="9">
        <f t="shared" ref="H203" si="25">C203*D203%/MID($H$16,8,3)*G203</f>
        <v>171031.25</v>
      </c>
      <c r="I203" s="96">
        <f>VLOOKUP(A191,Tabla_Libor,8,0)</f>
        <v>0.2225</v>
      </c>
      <c r="J203" s="96">
        <f>VLOOKUP(B191,Tabla_Libor,8,0)</f>
        <v>0.19750000000000001</v>
      </c>
      <c r="K203" s="96">
        <f>(I203+J203)/2</f>
        <v>0.21000000000000002</v>
      </c>
      <c r="L203" s="51">
        <v>0.28199999999999997</v>
      </c>
      <c r="M203" s="51">
        <f>MIN(I203:L203)</f>
        <v>0.19750000000000001</v>
      </c>
      <c r="N203" s="37">
        <f>HLOOKUP(Selección_Libor,I202:M203,2,0)</f>
        <v>0.21000000000000002</v>
      </c>
    </row>
    <row r="204" spans="1:14" x14ac:dyDescent="0.2">
      <c r="A204" s="8" t="s">
        <v>1</v>
      </c>
      <c r="B204" s="8" t="s">
        <v>2</v>
      </c>
      <c r="C204" s="8" t="s">
        <v>2</v>
      </c>
      <c r="D204" s="8" t="s">
        <v>2</v>
      </c>
      <c r="E204" s="7" t="s">
        <v>2</v>
      </c>
      <c r="F204" s="7" t="s">
        <v>2</v>
      </c>
      <c r="G204" s="7" t="s">
        <v>2</v>
      </c>
      <c r="H204" s="13">
        <f>SUM(H203:H203)</f>
        <v>171031.25</v>
      </c>
      <c r="I204" s="99"/>
      <c r="J204" s="99"/>
      <c r="K204" s="99"/>
    </row>
    <row r="207" spans="1:14" ht="25.5" x14ac:dyDescent="0.2">
      <c r="A207" s="7" t="s">
        <v>23</v>
      </c>
      <c r="B207" s="7" t="s">
        <v>27</v>
      </c>
      <c r="C207" s="7" t="s">
        <v>26</v>
      </c>
      <c r="D207" s="7" t="s">
        <v>25</v>
      </c>
      <c r="E207" s="7" t="s">
        <v>21</v>
      </c>
      <c r="F207" s="7" t="s">
        <v>22</v>
      </c>
      <c r="G207" s="7" t="str">
        <f>G201</f>
        <v>Días (365)</v>
      </c>
      <c r="H207" s="7" t="str">
        <f>H201</f>
        <v>Monto (360)</v>
      </c>
      <c r="I207" s="92"/>
      <c r="J207" s="92"/>
      <c r="K207" s="92"/>
    </row>
    <row r="208" spans="1:14" x14ac:dyDescent="0.2">
      <c r="A208" s="8" t="s">
        <v>20</v>
      </c>
      <c r="B208" s="8"/>
      <c r="C208" s="8"/>
      <c r="D208" s="8"/>
      <c r="E208" s="7"/>
      <c r="F208" s="7"/>
      <c r="G208" s="7"/>
      <c r="H208" s="8"/>
      <c r="I208" s="100"/>
      <c r="J208" s="100"/>
      <c r="K208" s="100"/>
    </row>
    <row r="209" spans="1:11" x14ac:dyDescent="0.2">
      <c r="A209" s="10" t="s">
        <v>29</v>
      </c>
      <c r="B209" s="10" t="s">
        <v>28</v>
      </c>
      <c r="C209" s="9">
        <f>B194</f>
        <v>37500000</v>
      </c>
      <c r="D209" s="73">
        <f>MIN('Variables y Resumen'!$B$7,'Variables y Resumen'!$B$12-D203)</f>
        <v>2</v>
      </c>
      <c r="E209" s="39">
        <f>E203</f>
        <v>44231</v>
      </c>
      <c r="F209" s="39">
        <f>F203</f>
        <v>44270</v>
      </c>
      <c r="G209" s="41">
        <f>IF('Variables y Resumen'!$B$3=360,DAYS360(E209,F209),F209-E209)</f>
        <v>39</v>
      </c>
      <c r="H209" s="9">
        <f t="shared" ref="H209" si="26">C209*D209%/MID($H$16,8,3)*G209</f>
        <v>81250</v>
      </c>
      <c r="I209" s="98"/>
      <c r="J209" s="98"/>
      <c r="K209" s="98"/>
    </row>
    <row r="210" spans="1:11" x14ac:dyDescent="0.2">
      <c r="A210" s="10" t="s">
        <v>30</v>
      </c>
      <c r="B210" s="10" t="s">
        <v>28</v>
      </c>
      <c r="C210" s="9">
        <f>C194</f>
        <v>6389669.1414583335</v>
      </c>
      <c r="D210" s="73">
        <f>MIN(D203+'Variables y Resumen'!$B$7,'Variables y Resumen'!$B$12)</f>
        <v>6.21</v>
      </c>
      <c r="E210" s="39">
        <f>E203</f>
        <v>44231</v>
      </c>
      <c r="F210" s="39">
        <f>F203</f>
        <v>44270</v>
      </c>
      <c r="G210" s="41">
        <f>IF('Variables y Resumen'!$B$3=360,DAYS360(E210,F210),F210-E210)</f>
        <v>39</v>
      </c>
      <c r="H210" s="48">
        <f>IF('Variables y Resumen'!$B$11="SI",C210*D210%/MID($H$16,8,3)*G210,0)</f>
        <v>42986.49914916094</v>
      </c>
      <c r="I210" s="90"/>
      <c r="J210" s="90"/>
      <c r="K210" s="90"/>
    </row>
    <row r="211" spans="1:11" x14ac:dyDescent="0.2">
      <c r="A211" s="10" t="s">
        <v>30</v>
      </c>
      <c r="B211" s="10" t="s">
        <v>28</v>
      </c>
      <c r="C211" s="9">
        <f>E194</f>
        <v>1204610.0412352243</v>
      </c>
      <c r="D211" s="73">
        <f>D210</f>
        <v>6.21</v>
      </c>
      <c r="E211" s="39">
        <f>E203</f>
        <v>44231</v>
      </c>
      <c r="F211" s="39">
        <f>F203</f>
        <v>44270</v>
      </c>
      <c r="G211" s="41">
        <f>IF('Variables y Resumen'!$B$3=360,DAYS360(E211,F211),F211-E211)</f>
        <v>39</v>
      </c>
      <c r="H211" s="48">
        <f>IF('Variables y Resumen'!$B$11="SI",C211*D211%/MID($H$16,8,3)*G211,0)</f>
        <v>8104.0140524099725</v>
      </c>
      <c r="I211" s="98"/>
      <c r="J211" s="98"/>
      <c r="K211" s="98"/>
    </row>
    <row r="212" spans="1:11" x14ac:dyDescent="0.2">
      <c r="A212" s="10" t="s">
        <v>31</v>
      </c>
      <c r="B212" s="10" t="s">
        <v>28</v>
      </c>
      <c r="C212" s="9">
        <f>D194</f>
        <v>20000</v>
      </c>
      <c r="D212" s="73">
        <f>D211</f>
        <v>6.21</v>
      </c>
      <c r="E212" s="39">
        <f>E203</f>
        <v>44231</v>
      </c>
      <c r="F212" s="39">
        <f>F203</f>
        <v>44270</v>
      </c>
      <c r="G212" s="41">
        <f>IF('Variables y Resumen'!$B$3=360,DAYS360(E212,F212),F212-E212)</f>
        <v>39</v>
      </c>
      <c r="H212" s="48">
        <f>IF('Variables y Resumen'!$B$10="SI",C212*D212%/MID($H$16,8,3)*G212,0)</f>
        <v>134.55000000000001</v>
      </c>
      <c r="I212" s="90"/>
      <c r="J212" s="90"/>
      <c r="K212" s="90"/>
    </row>
    <row r="213" spans="1:11" x14ac:dyDescent="0.2">
      <c r="A213" s="8" t="s">
        <v>1</v>
      </c>
      <c r="B213" s="8" t="s">
        <v>2</v>
      </c>
      <c r="C213" s="8" t="s">
        <v>2</v>
      </c>
      <c r="D213" s="8" t="s">
        <v>2</v>
      </c>
      <c r="E213" s="7" t="s">
        <v>2</v>
      </c>
      <c r="F213" s="7" t="s">
        <v>2</v>
      </c>
      <c r="G213" s="7" t="s">
        <v>2</v>
      </c>
      <c r="H213" s="13">
        <f>SUM(H209:H212)</f>
        <v>132475.06320157091</v>
      </c>
      <c r="I213" s="99"/>
      <c r="J213" s="99"/>
      <c r="K213" s="99"/>
    </row>
    <row r="216" spans="1:11" x14ac:dyDescent="0.2">
      <c r="A216" s="174" t="s">
        <v>33</v>
      </c>
      <c r="B216" s="175"/>
      <c r="C216" s="175"/>
    </row>
    <row r="217" spans="1:11" x14ac:dyDescent="0.2">
      <c r="A217" s="7" t="s">
        <v>23</v>
      </c>
      <c r="B217" s="7" t="s">
        <v>36</v>
      </c>
      <c r="C217" s="7" t="s">
        <v>110</v>
      </c>
      <c r="D217" s="7" t="s">
        <v>82</v>
      </c>
    </row>
    <row r="218" spans="1:11" x14ac:dyDescent="0.2">
      <c r="A218" s="10" t="s">
        <v>111</v>
      </c>
      <c r="B218" s="9">
        <f>D187</f>
        <v>20000</v>
      </c>
      <c r="C218" s="48">
        <f>IF('Variables y Resumen'!$B$9="SI",10000,0)</f>
        <v>10000</v>
      </c>
      <c r="D218" s="9">
        <f>SUM(B218:C218)</f>
        <v>30000</v>
      </c>
    </row>
    <row r="219" spans="1:11" x14ac:dyDescent="0.2">
      <c r="A219" s="8" t="s">
        <v>82</v>
      </c>
      <c r="B219" s="13">
        <f>SUM(B218:B218)</f>
        <v>20000</v>
      </c>
      <c r="C219" s="13">
        <f>SUM(C218:C218)</f>
        <v>10000</v>
      </c>
      <c r="D219" s="13">
        <f t="shared" ref="D219" si="27">SUM(D218)</f>
        <v>30000</v>
      </c>
    </row>
    <row r="224" spans="1:11" ht="15" x14ac:dyDescent="0.2">
      <c r="A224" s="34">
        <f>B191</f>
        <v>44270</v>
      </c>
      <c r="B224" s="34">
        <f>MIN(A224+184,'Variables y Resumen'!$B$8)</f>
        <v>44441</v>
      </c>
      <c r="C224" s="5"/>
      <c r="D224" s="5"/>
      <c r="E224" s="28"/>
      <c r="F224" s="28"/>
      <c r="G224" s="28"/>
      <c r="H224" s="5"/>
      <c r="I224" s="5"/>
      <c r="J224" s="5"/>
      <c r="K224" s="5"/>
    </row>
    <row r="225" spans="1:14" x14ac:dyDescent="0.2">
      <c r="A225" s="176" t="s">
        <v>34</v>
      </c>
      <c r="B225" s="175"/>
      <c r="C225" s="175"/>
      <c r="D225" s="175"/>
      <c r="E225" s="175"/>
      <c r="F225" s="175"/>
    </row>
    <row r="226" spans="1:14" ht="25.5" x14ac:dyDescent="0.2">
      <c r="A226" s="7" t="s">
        <v>23</v>
      </c>
      <c r="B226" s="7" t="s">
        <v>16</v>
      </c>
      <c r="C226" s="7" t="s">
        <v>17</v>
      </c>
      <c r="D226" s="7" t="s">
        <v>19</v>
      </c>
      <c r="E226" s="7" t="s">
        <v>63</v>
      </c>
      <c r="F226" s="7" t="s">
        <v>1</v>
      </c>
    </row>
    <row r="227" spans="1:14" x14ac:dyDescent="0.2">
      <c r="A227" s="8" t="s">
        <v>36</v>
      </c>
      <c r="B227" s="9">
        <f>B196</f>
        <v>37500000</v>
      </c>
      <c r="C227" s="9">
        <f>C196</f>
        <v>6560700.3914583335</v>
      </c>
      <c r="D227" s="9">
        <f>D196</f>
        <v>30000</v>
      </c>
      <c r="E227" s="38">
        <f>E196</f>
        <v>1337085.1044367952</v>
      </c>
      <c r="F227" s="38">
        <f>SUM(B227:E227)</f>
        <v>45427785.495895125</v>
      </c>
      <c r="H227" s="31"/>
      <c r="I227" s="31"/>
      <c r="J227" s="31"/>
      <c r="K227" s="31"/>
    </row>
    <row r="228" spans="1:14" x14ac:dyDescent="0.2">
      <c r="A228" s="8" t="s">
        <v>110</v>
      </c>
      <c r="B228" s="9">
        <v>0</v>
      </c>
      <c r="C228" s="9">
        <f>H237</f>
        <v>743238.14062499988</v>
      </c>
      <c r="D228" s="9">
        <v>0</v>
      </c>
      <c r="E228" s="38">
        <f>H246</f>
        <v>588690.1635774821</v>
      </c>
      <c r="F228" s="38">
        <f>SUM(B228:E228)</f>
        <v>1331928.3042024821</v>
      </c>
    </row>
    <row r="229" spans="1:14" x14ac:dyDescent="0.2">
      <c r="A229" s="8" t="s">
        <v>38</v>
      </c>
      <c r="B229" s="9">
        <f t="shared" ref="B229:F229" si="28">SUM(B227:B228)</f>
        <v>37500000</v>
      </c>
      <c r="C229" s="9">
        <f t="shared" si="28"/>
        <v>7303938.5320833335</v>
      </c>
      <c r="D229" s="9">
        <f t="shared" si="28"/>
        <v>30000</v>
      </c>
      <c r="E229" s="38">
        <f t="shared" si="28"/>
        <v>1925775.2680142773</v>
      </c>
      <c r="F229" s="38">
        <f t="shared" si="28"/>
        <v>46759713.800097607</v>
      </c>
    </row>
    <row r="233" spans="1:14" x14ac:dyDescent="0.2">
      <c r="A233" s="174" t="s">
        <v>24</v>
      </c>
      <c r="B233" s="175"/>
      <c r="C233" s="175"/>
    </row>
    <row r="234" spans="1:14" ht="25.5" x14ac:dyDescent="0.2">
      <c r="A234" s="7" t="s">
        <v>23</v>
      </c>
      <c r="B234" s="7" t="s">
        <v>27</v>
      </c>
      <c r="C234" s="7" t="s">
        <v>26</v>
      </c>
      <c r="D234" s="7" t="s">
        <v>25</v>
      </c>
      <c r="E234" s="7" t="s">
        <v>21</v>
      </c>
      <c r="F234" s="7" t="s">
        <v>22</v>
      </c>
      <c r="G234" s="7" t="str">
        <f>G207</f>
        <v>Días (365)</v>
      </c>
      <c r="H234" s="7" t="str">
        <f>H207</f>
        <v>Monto (360)</v>
      </c>
      <c r="I234" s="178" t="s">
        <v>139</v>
      </c>
      <c r="J234" s="179"/>
      <c r="K234" s="179"/>
      <c r="L234" s="179"/>
      <c r="M234" s="179"/>
      <c r="N234" s="180"/>
    </row>
    <row r="235" spans="1:14" ht="21" customHeight="1" x14ac:dyDescent="0.2">
      <c r="A235" s="8" t="s">
        <v>17</v>
      </c>
      <c r="B235" s="8"/>
      <c r="C235" s="8"/>
      <c r="D235" s="8"/>
      <c r="E235" s="7"/>
      <c r="F235" s="7"/>
      <c r="G235" s="7"/>
      <c r="H235" s="8"/>
      <c r="I235" s="7" t="s">
        <v>141</v>
      </c>
      <c r="J235" s="7" t="s">
        <v>142</v>
      </c>
      <c r="K235" s="7" t="s">
        <v>135</v>
      </c>
      <c r="L235" s="35" t="s">
        <v>136</v>
      </c>
      <c r="M235" s="35" t="s">
        <v>134</v>
      </c>
      <c r="N235" s="36" t="s">
        <v>137</v>
      </c>
    </row>
    <row r="236" spans="1:14" ht="18" customHeight="1" x14ac:dyDescent="0.2">
      <c r="A236" s="10" t="s">
        <v>13</v>
      </c>
      <c r="B236" s="10" t="s">
        <v>8</v>
      </c>
      <c r="C236" s="9">
        <v>37500000</v>
      </c>
      <c r="D236" s="73">
        <f>MIN('Variables y Resumen'!$B$12,MIN('Variables y Resumen'!$B$5,$I$3)+N236 )</f>
        <v>4.1725649999999996</v>
      </c>
      <c r="E236" s="39">
        <f>A224</f>
        <v>44270</v>
      </c>
      <c r="F236" s="39">
        <f>B224</f>
        <v>44441</v>
      </c>
      <c r="G236" s="41">
        <f>IF('Variables y Resumen'!$B$3=360,DAYS360(E236,F236),F236-E236)</f>
        <v>171</v>
      </c>
      <c r="H236" s="9">
        <f t="shared" ref="H236" si="29">C236*D236%/MID($H$16,8,3)*G236</f>
        <v>743238.14062499988</v>
      </c>
      <c r="I236" s="96">
        <f>VLOOKUP(A224,Tabla_Libor,8,0)</f>
        <v>0.19750000000000001</v>
      </c>
      <c r="J236" s="96">
        <f>VLOOKUP(B224,Tabla_Libor,8,0)</f>
        <v>0.14763000000000001</v>
      </c>
      <c r="K236" s="96">
        <f>(I236+J236)/2</f>
        <v>0.17256500000000002</v>
      </c>
      <c r="L236" s="51">
        <v>0.193</v>
      </c>
      <c r="M236" s="51">
        <f>MIN(I236:L236)</f>
        <v>0.14763000000000001</v>
      </c>
      <c r="N236" s="37">
        <f>HLOOKUP(Selección_Libor,I235:M236,2,0)</f>
        <v>0.17256500000000002</v>
      </c>
    </row>
    <row r="237" spans="1:14" x14ac:dyDescent="0.2">
      <c r="A237" s="8" t="s">
        <v>1</v>
      </c>
      <c r="B237" s="8" t="s">
        <v>2</v>
      </c>
      <c r="C237" s="8" t="s">
        <v>2</v>
      </c>
      <c r="D237" s="8" t="s">
        <v>2</v>
      </c>
      <c r="E237" s="7" t="s">
        <v>2</v>
      </c>
      <c r="F237" s="7" t="s">
        <v>2</v>
      </c>
      <c r="G237" s="7" t="s">
        <v>2</v>
      </c>
      <c r="H237" s="13">
        <f>SUM(H236:H236)</f>
        <v>743238.14062499988</v>
      </c>
      <c r="I237" s="99"/>
      <c r="J237" s="99"/>
      <c r="K237" s="99"/>
    </row>
    <row r="240" spans="1:14" ht="25.5" x14ac:dyDescent="0.2">
      <c r="A240" s="7" t="s">
        <v>23</v>
      </c>
      <c r="B240" s="7" t="s">
        <v>27</v>
      </c>
      <c r="C240" s="7" t="s">
        <v>26</v>
      </c>
      <c r="D240" s="7" t="s">
        <v>25</v>
      </c>
      <c r="E240" s="7" t="s">
        <v>21</v>
      </c>
      <c r="F240" s="7" t="s">
        <v>22</v>
      </c>
      <c r="G240" s="7" t="str">
        <f>G234</f>
        <v>Días (365)</v>
      </c>
      <c r="H240" s="7" t="str">
        <f>H234</f>
        <v>Monto (360)</v>
      </c>
      <c r="I240" s="92"/>
      <c r="J240" s="92"/>
      <c r="K240" s="92"/>
    </row>
    <row r="241" spans="1:11" x14ac:dyDescent="0.2">
      <c r="A241" s="8" t="s">
        <v>20</v>
      </c>
      <c r="B241" s="8"/>
      <c r="C241" s="8"/>
      <c r="D241" s="8"/>
      <c r="E241" s="7"/>
      <c r="F241" s="7"/>
      <c r="G241" s="7"/>
      <c r="H241" s="8"/>
      <c r="I241" s="100"/>
      <c r="J241" s="100"/>
      <c r="K241" s="100"/>
    </row>
    <row r="242" spans="1:11" x14ac:dyDescent="0.2">
      <c r="A242" s="10" t="s">
        <v>29</v>
      </c>
      <c r="B242" s="10" t="s">
        <v>28</v>
      </c>
      <c r="C242" s="9">
        <f>B227</f>
        <v>37500000</v>
      </c>
      <c r="D242" s="73">
        <f>MIN('Variables y Resumen'!$B$7,'Variables y Resumen'!$B$12-D236)</f>
        <v>2</v>
      </c>
      <c r="E242" s="39">
        <f>E236</f>
        <v>44270</v>
      </c>
      <c r="F242" s="39">
        <f>F236</f>
        <v>44441</v>
      </c>
      <c r="G242" s="41">
        <f>IF('Variables y Resumen'!$B$3=360,DAYS360(E242,F242),F242-E242)</f>
        <v>171</v>
      </c>
      <c r="H242" s="9">
        <f t="shared" ref="H242" si="30">C242*D242%/MID($H$16,8,3)*G242</f>
        <v>356250</v>
      </c>
      <c r="I242" s="98"/>
      <c r="J242" s="98"/>
      <c r="K242" s="98"/>
    </row>
    <row r="243" spans="1:11" x14ac:dyDescent="0.2">
      <c r="A243" s="10" t="s">
        <v>30</v>
      </c>
      <c r="B243" s="10" t="s">
        <v>28</v>
      </c>
      <c r="C243" s="9">
        <f>C227</f>
        <v>6560700.3914583335</v>
      </c>
      <c r="D243" s="73">
        <f>MIN(D236+'Variables y Resumen'!$B$7,'Variables y Resumen'!$B$12)</f>
        <v>6.1725649999999996</v>
      </c>
      <c r="E243" s="39">
        <f>E236</f>
        <v>44270</v>
      </c>
      <c r="F243" s="39">
        <f>F236</f>
        <v>44441</v>
      </c>
      <c r="G243" s="41">
        <f>IF('Variables y Resumen'!$B$3=360,DAYS360(E243,F243),F243-E243)</f>
        <v>171</v>
      </c>
      <c r="H243" s="48">
        <f>IF('Variables y Resumen'!$B$11="SI",C243*D243%/MID($H$16,8,3)*G243,0)</f>
        <v>192357.66065605954</v>
      </c>
      <c r="I243" s="90"/>
      <c r="J243" s="90"/>
      <c r="K243" s="90"/>
    </row>
    <row r="244" spans="1:11" x14ac:dyDescent="0.2">
      <c r="A244" s="10" t="s">
        <v>30</v>
      </c>
      <c r="B244" s="10" t="s">
        <v>28</v>
      </c>
      <c r="C244" s="9">
        <f>E227</f>
        <v>1337085.1044367952</v>
      </c>
      <c r="D244" s="73">
        <f>D243</f>
        <v>6.1725649999999996</v>
      </c>
      <c r="E244" s="39">
        <f>E236</f>
        <v>44270</v>
      </c>
      <c r="F244" s="39">
        <f>F236</f>
        <v>44441</v>
      </c>
      <c r="G244" s="41">
        <f>IF('Variables y Resumen'!$B$3=360,DAYS360(E244,F244),F244-E244)</f>
        <v>171</v>
      </c>
      <c r="H244" s="48">
        <f>IF('Variables y Resumen'!$B$11="SI",C244*D244%/MID($H$16,8,3)*G244,0)</f>
        <v>39202.912408922559</v>
      </c>
      <c r="I244" s="98"/>
      <c r="J244" s="98"/>
      <c r="K244" s="98"/>
    </row>
    <row r="245" spans="1:11" x14ac:dyDescent="0.2">
      <c r="A245" s="10" t="s">
        <v>31</v>
      </c>
      <c r="B245" s="10" t="s">
        <v>28</v>
      </c>
      <c r="C245" s="9">
        <f>D227</f>
        <v>30000</v>
      </c>
      <c r="D245" s="73">
        <f>D244</f>
        <v>6.1725649999999996</v>
      </c>
      <c r="E245" s="39">
        <f>E236</f>
        <v>44270</v>
      </c>
      <c r="F245" s="39">
        <f>F236</f>
        <v>44441</v>
      </c>
      <c r="G245" s="41">
        <f>IF('Variables y Resumen'!$B$3=360,DAYS360(E245,F245),F245-E245)</f>
        <v>171</v>
      </c>
      <c r="H245" s="48">
        <f>IF('Variables y Resumen'!$B$10="SI",C245*D245%/MID($H$16,8,3)*G245,0)</f>
        <v>879.59051249999993</v>
      </c>
      <c r="I245" s="90"/>
      <c r="J245" s="90"/>
      <c r="K245" s="90"/>
    </row>
    <row r="246" spans="1:11" x14ac:dyDescent="0.2">
      <c r="A246" s="8" t="s">
        <v>1</v>
      </c>
      <c r="B246" s="8" t="s">
        <v>2</v>
      </c>
      <c r="C246" s="8" t="s">
        <v>2</v>
      </c>
      <c r="D246" s="8" t="s">
        <v>2</v>
      </c>
      <c r="E246" s="7" t="s">
        <v>2</v>
      </c>
      <c r="F246" s="7" t="s">
        <v>2</v>
      </c>
      <c r="G246" s="7" t="s">
        <v>2</v>
      </c>
      <c r="H246" s="13">
        <f>SUM(H242:H245)</f>
        <v>588690.1635774821</v>
      </c>
      <c r="I246" s="99"/>
      <c r="J246" s="99"/>
      <c r="K246" s="99"/>
    </row>
    <row r="249" spans="1:11" x14ac:dyDescent="0.2">
      <c r="A249" s="174" t="s">
        <v>33</v>
      </c>
      <c r="B249" s="175"/>
      <c r="C249" s="175"/>
    </row>
    <row r="250" spans="1:11" x14ac:dyDescent="0.2">
      <c r="A250" s="7" t="s">
        <v>23</v>
      </c>
      <c r="B250" s="7" t="s">
        <v>36</v>
      </c>
      <c r="C250" s="7" t="s">
        <v>110</v>
      </c>
      <c r="D250" s="7" t="s">
        <v>82</v>
      </c>
    </row>
    <row r="251" spans="1:11" x14ac:dyDescent="0.2">
      <c r="A251" s="10" t="s">
        <v>111</v>
      </c>
      <c r="B251" s="9">
        <f>D219</f>
        <v>30000</v>
      </c>
      <c r="C251" s="48">
        <f>IF('Variables y Resumen'!$B$9="SI",0,0)</f>
        <v>0</v>
      </c>
      <c r="D251" s="9">
        <f>SUM(B251:C251)</f>
        <v>30000</v>
      </c>
    </row>
    <row r="252" spans="1:11" x14ac:dyDescent="0.2">
      <c r="A252" s="8" t="s">
        <v>82</v>
      </c>
      <c r="B252" s="13">
        <f>SUM(B251:B251)</f>
        <v>30000</v>
      </c>
      <c r="C252" s="13">
        <f>SUM(C251:C251)</f>
        <v>0</v>
      </c>
      <c r="D252" s="13">
        <f t="shared" ref="D252" si="31">SUM(D251)</f>
        <v>30000</v>
      </c>
    </row>
    <row r="255" spans="1:11" ht="15" x14ac:dyDescent="0.2">
      <c r="A255" s="34">
        <f>B224</f>
        <v>44441</v>
      </c>
      <c r="B255" s="70">
        <f>'Variables y Resumen'!$B$8</f>
        <v>44441</v>
      </c>
      <c r="C255" s="5"/>
      <c r="D255" s="5"/>
      <c r="E255" s="28"/>
      <c r="F255" s="28"/>
      <c r="G255" s="28"/>
      <c r="H255" s="5"/>
      <c r="I255" s="5"/>
      <c r="J255" s="5"/>
      <c r="K255" s="5"/>
    </row>
    <row r="256" spans="1:11" x14ac:dyDescent="0.2">
      <c r="A256" s="176" t="s">
        <v>34</v>
      </c>
      <c r="B256" s="175"/>
      <c r="C256" s="175"/>
      <c r="D256" s="175"/>
      <c r="E256" s="175"/>
      <c r="F256" s="175"/>
    </row>
    <row r="257" spans="1:14" ht="25.5" x14ac:dyDescent="0.2">
      <c r="A257" s="7" t="s">
        <v>23</v>
      </c>
      <c r="B257" s="7" t="s">
        <v>16</v>
      </c>
      <c r="C257" s="7" t="s">
        <v>17</v>
      </c>
      <c r="D257" s="7" t="s">
        <v>19</v>
      </c>
      <c r="E257" s="7" t="s">
        <v>63</v>
      </c>
      <c r="F257" s="7" t="s">
        <v>1</v>
      </c>
    </row>
    <row r="258" spans="1:14" x14ac:dyDescent="0.2">
      <c r="A258" s="8" t="s">
        <v>36</v>
      </c>
      <c r="B258" s="9">
        <f>B229</f>
        <v>37500000</v>
      </c>
      <c r="C258" s="9">
        <f>C229</f>
        <v>7303938.5320833335</v>
      </c>
      <c r="D258" s="9">
        <f>D229</f>
        <v>30000</v>
      </c>
      <c r="E258" s="38">
        <f>E229</f>
        <v>1925775.2680142773</v>
      </c>
      <c r="F258" s="38">
        <f>SUM(B258:E258)</f>
        <v>46759713.800097607</v>
      </c>
      <c r="H258" s="31"/>
      <c r="I258" s="31"/>
      <c r="J258" s="31"/>
      <c r="K258" s="31"/>
    </row>
    <row r="259" spans="1:14" x14ac:dyDescent="0.2">
      <c r="A259" s="8" t="s">
        <v>110</v>
      </c>
      <c r="B259" s="9">
        <v>0</v>
      </c>
      <c r="C259" s="9">
        <f>H268</f>
        <v>0</v>
      </c>
      <c r="D259" s="9">
        <v>0</v>
      </c>
      <c r="E259" s="38">
        <f>H277</f>
        <v>0</v>
      </c>
      <c r="F259" s="38">
        <f>SUM(B259:E259)</f>
        <v>0</v>
      </c>
    </row>
    <row r="260" spans="1:14" x14ac:dyDescent="0.2">
      <c r="A260" s="8" t="s">
        <v>38</v>
      </c>
      <c r="B260" s="9">
        <f t="shared" ref="B260:F260" si="32">SUM(B258:B259)</f>
        <v>37500000</v>
      </c>
      <c r="C260" s="9">
        <f t="shared" si="32"/>
        <v>7303938.5320833335</v>
      </c>
      <c r="D260" s="9">
        <f t="shared" si="32"/>
        <v>30000</v>
      </c>
      <c r="E260" s="38">
        <f t="shared" si="32"/>
        <v>1925775.2680142773</v>
      </c>
      <c r="F260" s="38">
        <f t="shared" si="32"/>
        <v>46759713.800097607</v>
      </c>
    </row>
    <row r="264" spans="1:14" x14ac:dyDescent="0.2">
      <c r="A264" s="174" t="s">
        <v>24</v>
      </c>
      <c r="B264" s="175"/>
      <c r="C264" s="175"/>
    </row>
    <row r="265" spans="1:14" ht="25.5" x14ac:dyDescent="0.2">
      <c r="A265" s="7" t="s">
        <v>23</v>
      </c>
      <c r="B265" s="7" t="s">
        <v>27</v>
      </c>
      <c r="C265" s="7" t="s">
        <v>26</v>
      </c>
      <c r="D265" s="7" t="s">
        <v>25</v>
      </c>
      <c r="E265" s="7" t="s">
        <v>21</v>
      </c>
      <c r="F265" s="7" t="s">
        <v>22</v>
      </c>
      <c r="G265" s="7" t="str">
        <f>G240</f>
        <v>Días (365)</v>
      </c>
      <c r="H265" s="7" t="str">
        <f>H240</f>
        <v>Monto (360)</v>
      </c>
      <c r="I265" s="178" t="s">
        <v>139</v>
      </c>
      <c r="J265" s="179"/>
      <c r="K265" s="179"/>
      <c r="L265" s="179"/>
      <c r="M265" s="179"/>
      <c r="N265" s="180"/>
    </row>
    <row r="266" spans="1:14" x14ac:dyDescent="0.2">
      <c r="A266" s="8" t="s">
        <v>17</v>
      </c>
      <c r="B266" s="8"/>
      <c r="C266" s="8"/>
      <c r="D266" s="8"/>
      <c r="E266" s="7"/>
      <c r="F266" s="7"/>
      <c r="G266" s="7"/>
      <c r="H266" s="8"/>
      <c r="I266" s="7" t="s">
        <v>141</v>
      </c>
      <c r="J266" s="7" t="s">
        <v>142</v>
      </c>
      <c r="K266" s="7" t="s">
        <v>135</v>
      </c>
      <c r="L266" s="35" t="s">
        <v>136</v>
      </c>
      <c r="M266" s="35" t="s">
        <v>134</v>
      </c>
      <c r="N266" s="36" t="s">
        <v>137</v>
      </c>
    </row>
    <row r="267" spans="1:14" x14ac:dyDescent="0.2">
      <c r="A267" s="10" t="s">
        <v>13</v>
      </c>
      <c r="B267" s="10" t="s">
        <v>8</v>
      </c>
      <c r="C267" s="9">
        <v>37500000</v>
      </c>
      <c r="D267" s="73">
        <f>MIN('Variables y Resumen'!$B$12,MIN('Variables y Resumen'!$B$5,$I$3)+N267 )</f>
        <v>4.1476300000000004</v>
      </c>
      <c r="E267" s="39">
        <f>A255</f>
        <v>44441</v>
      </c>
      <c r="F267" s="39">
        <f>B255</f>
        <v>44441</v>
      </c>
      <c r="G267" s="41">
        <f>IF('Variables y Resumen'!$B$3=360,DAYS360(E267,F267),F267-E267)</f>
        <v>0</v>
      </c>
      <c r="H267" s="9">
        <f t="shared" ref="H267" si="33">C267*D267%/MID($H$16,8,3)*G267</f>
        <v>0</v>
      </c>
      <c r="I267" s="96">
        <f>VLOOKUP(A255,Tabla_Libor,8,0)</f>
        <v>0.14763000000000001</v>
      </c>
      <c r="J267" s="96">
        <f>VLOOKUP(B255,Tabla_Libor,8,0)</f>
        <v>0.14763000000000001</v>
      </c>
      <c r="K267" s="96">
        <f>(I267+J267)/2</f>
        <v>0.14763000000000001</v>
      </c>
      <c r="L267" s="51">
        <v>0.14899999999999999</v>
      </c>
      <c r="M267" s="51">
        <f>MIN(I267:L267)</f>
        <v>0.14763000000000001</v>
      </c>
      <c r="N267" s="37">
        <f>HLOOKUP(Selección_Libor,I266:M267,2,0)</f>
        <v>0.14763000000000001</v>
      </c>
    </row>
    <row r="268" spans="1:14" x14ac:dyDescent="0.2">
      <c r="A268" s="8" t="s">
        <v>1</v>
      </c>
      <c r="B268" s="8" t="s">
        <v>2</v>
      </c>
      <c r="C268" s="8" t="s">
        <v>2</v>
      </c>
      <c r="D268" s="8" t="s">
        <v>2</v>
      </c>
      <c r="E268" s="7" t="s">
        <v>2</v>
      </c>
      <c r="F268" s="7" t="s">
        <v>2</v>
      </c>
      <c r="G268" s="7" t="s">
        <v>2</v>
      </c>
      <c r="H268" s="13">
        <f>SUM(H267:H267)</f>
        <v>0</v>
      </c>
      <c r="I268" s="99"/>
      <c r="J268" s="99"/>
      <c r="K268" s="99"/>
    </row>
    <row r="271" spans="1:14" ht="25.5" x14ac:dyDescent="0.2">
      <c r="A271" s="7" t="s">
        <v>23</v>
      </c>
      <c r="B271" s="7" t="s">
        <v>27</v>
      </c>
      <c r="C271" s="7" t="s">
        <v>26</v>
      </c>
      <c r="D271" s="7" t="s">
        <v>25</v>
      </c>
      <c r="E271" s="7" t="s">
        <v>21</v>
      </c>
      <c r="F271" s="7" t="s">
        <v>22</v>
      </c>
      <c r="G271" s="7" t="s">
        <v>35</v>
      </c>
      <c r="H271" s="7" t="s">
        <v>39</v>
      </c>
      <c r="I271" s="92"/>
      <c r="J271" s="92"/>
      <c r="K271" s="92"/>
    </row>
    <row r="272" spans="1:14" x14ac:dyDescent="0.2">
      <c r="A272" s="8" t="s">
        <v>20</v>
      </c>
      <c r="B272" s="8"/>
      <c r="C272" s="8"/>
      <c r="D272" s="8"/>
      <c r="E272" s="7"/>
      <c r="F272" s="7"/>
      <c r="G272" s="7"/>
      <c r="H272" s="8"/>
      <c r="I272" s="100"/>
      <c r="J272" s="100"/>
      <c r="K272" s="100"/>
    </row>
    <row r="273" spans="1:11" x14ac:dyDescent="0.2">
      <c r="A273" s="10" t="s">
        <v>29</v>
      </c>
      <c r="B273" s="10" t="s">
        <v>28</v>
      </c>
      <c r="C273" s="9">
        <f>B258</f>
        <v>37500000</v>
      </c>
      <c r="D273" s="73">
        <f>MIN('Variables y Resumen'!$B$7,'Variables y Resumen'!$B$12-D267)</f>
        <v>2</v>
      </c>
      <c r="E273" s="39">
        <f>E267</f>
        <v>44441</v>
      </c>
      <c r="F273" s="39">
        <f>F267</f>
        <v>44441</v>
      </c>
      <c r="G273" s="41">
        <f>IF('Variables y Resumen'!$B$3=360,DAYS360(E273,F273),F273-E273)</f>
        <v>0</v>
      </c>
      <c r="H273" s="9">
        <f t="shared" ref="H273" si="34">C273*D273%/MID($H$16,8,3)*G273</f>
        <v>0</v>
      </c>
      <c r="I273" s="98"/>
      <c r="J273" s="98"/>
      <c r="K273" s="98"/>
    </row>
    <row r="274" spans="1:11" x14ac:dyDescent="0.2">
      <c r="A274" s="10" t="s">
        <v>30</v>
      </c>
      <c r="B274" s="10" t="s">
        <v>28</v>
      </c>
      <c r="C274" s="9">
        <f>C258</f>
        <v>7303938.5320833335</v>
      </c>
      <c r="D274" s="73">
        <f>MIN(D267+'Variables y Resumen'!$B$7,'Variables y Resumen'!$B$12)</f>
        <v>6.1476300000000004</v>
      </c>
      <c r="E274" s="39">
        <f>E267</f>
        <v>44441</v>
      </c>
      <c r="F274" s="39">
        <f>F267</f>
        <v>44441</v>
      </c>
      <c r="G274" s="41">
        <f>IF('Variables y Resumen'!$B$3=360,DAYS360(E274,F274),F274-E274)</f>
        <v>0</v>
      </c>
      <c r="H274" s="48">
        <f>IF('Variables y Resumen'!$B$11="SI",C274*D274%/MID($H$16,8,3)*G274,0)</f>
        <v>0</v>
      </c>
      <c r="I274" s="90"/>
      <c r="J274" s="90"/>
      <c r="K274" s="90"/>
    </row>
    <row r="275" spans="1:11" x14ac:dyDescent="0.2">
      <c r="A275" s="10" t="s">
        <v>30</v>
      </c>
      <c r="B275" s="10" t="s">
        <v>28</v>
      </c>
      <c r="C275" s="9">
        <f>E258</f>
        <v>1925775.2680142773</v>
      </c>
      <c r="D275" s="73">
        <f>D274</f>
        <v>6.1476300000000004</v>
      </c>
      <c r="E275" s="39">
        <f>E267</f>
        <v>44441</v>
      </c>
      <c r="F275" s="39">
        <f>F267</f>
        <v>44441</v>
      </c>
      <c r="G275" s="41">
        <f>IF('Variables y Resumen'!$B$3=360,DAYS360(E275,F275),F275-E275)</f>
        <v>0</v>
      </c>
      <c r="H275" s="48">
        <f>IF('Variables y Resumen'!$B$11="SI",C275*D275%/MID($H$16,8,3)*G275,0)</f>
        <v>0</v>
      </c>
      <c r="I275" s="98"/>
      <c r="J275" s="98"/>
      <c r="K275" s="98"/>
    </row>
    <row r="276" spans="1:11" x14ac:dyDescent="0.2">
      <c r="A276" s="10" t="s">
        <v>31</v>
      </c>
      <c r="B276" s="10" t="s">
        <v>28</v>
      </c>
      <c r="C276" s="9">
        <f>D258</f>
        <v>30000</v>
      </c>
      <c r="D276" s="73">
        <f>D275</f>
        <v>6.1476300000000004</v>
      </c>
      <c r="E276" s="39">
        <f>E267</f>
        <v>44441</v>
      </c>
      <c r="F276" s="39">
        <f>F267</f>
        <v>44441</v>
      </c>
      <c r="G276" s="41">
        <f>IF('Variables y Resumen'!$B$3=360,DAYS360(E276,F276),F276-E276)</f>
        <v>0</v>
      </c>
      <c r="H276" s="48">
        <f>IF('Variables y Resumen'!$B$10="SI",C276*D276%/MID($H$16,8,3)*G276,0)</f>
        <v>0</v>
      </c>
      <c r="I276" s="90"/>
      <c r="J276" s="90"/>
      <c r="K276" s="90"/>
    </row>
    <row r="277" spans="1:11" x14ac:dyDescent="0.2">
      <c r="A277" s="8" t="s">
        <v>1</v>
      </c>
      <c r="B277" s="8" t="s">
        <v>2</v>
      </c>
      <c r="C277" s="8" t="s">
        <v>2</v>
      </c>
      <c r="D277" s="8" t="s">
        <v>2</v>
      </c>
      <c r="E277" s="7" t="s">
        <v>2</v>
      </c>
      <c r="F277" s="7" t="s">
        <v>2</v>
      </c>
      <c r="G277" s="7" t="s">
        <v>2</v>
      </c>
      <c r="H277" s="13">
        <f>SUM(H273:H276)</f>
        <v>0</v>
      </c>
      <c r="I277" s="99"/>
      <c r="J277" s="99"/>
      <c r="K277" s="99"/>
    </row>
    <row r="280" spans="1:11" x14ac:dyDescent="0.2">
      <c r="A280" s="174" t="s">
        <v>33</v>
      </c>
      <c r="B280" s="175"/>
      <c r="C280" s="175"/>
    </row>
    <row r="281" spans="1:11" x14ac:dyDescent="0.2">
      <c r="A281" s="7" t="s">
        <v>23</v>
      </c>
      <c r="B281" s="7" t="s">
        <v>36</v>
      </c>
      <c r="C281" s="7" t="s">
        <v>110</v>
      </c>
      <c r="D281" s="7" t="s">
        <v>82</v>
      </c>
    </row>
    <row r="282" spans="1:11" x14ac:dyDescent="0.2">
      <c r="A282" s="10" t="s">
        <v>111</v>
      </c>
      <c r="B282" s="9">
        <f>B252</f>
        <v>30000</v>
      </c>
      <c r="C282" s="48">
        <f>IF('Variables y Resumen'!$B$9="SI",0,0)</f>
        <v>0</v>
      </c>
      <c r="D282" s="9">
        <f>SUM(B282:C282)</f>
        <v>30000</v>
      </c>
    </row>
    <row r="283" spans="1:11" x14ac:dyDescent="0.2">
      <c r="A283" s="8" t="s">
        <v>82</v>
      </c>
      <c r="B283" s="13">
        <f>SUM(B282:B282)</f>
        <v>30000</v>
      </c>
      <c r="C283" s="13">
        <f>SUM(C282:C282)</f>
        <v>0</v>
      </c>
      <c r="D283" s="13">
        <f t="shared" ref="D283" si="35">SUM(D282)</f>
        <v>30000</v>
      </c>
    </row>
  </sheetData>
  <sheetProtection sheet="1" objects="1" scenarios="1"/>
  <mergeCells count="37">
    <mergeCell ref="I234:N234"/>
    <mergeCell ref="I265:N265"/>
    <mergeCell ref="I107:N107"/>
    <mergeCell ref="A225:F225"/>
    <mergeCell ref="A129:F129"/>
    <mergeCell ref="A137:C137"/>
    <mergeCell ref="A153:C153"/>
    <mergeCell ref="A160:F160"/>
    <mergeCell ref="A168:C168"/>
    <mergeCell ref="A200:C200"/>
    <mergeCell ref="A216:C216"/>
    <mergeCell ref="A192:F192"/>
    <mergeCell ref="A122:C122"/>
    <mergeCell ref="I138:N138"/>
    <mergeCell ref="I169:N169"/>
    <mergeCell ref="I201:N201"/>
    <mergeCell ref="A233:C233"/>
    <mergeCell ref="A264:C264"/>
    <mergeCell ref="A280:C280"/>
    <mergeCell ref="A249:C249"/>
    <mergeCell ref="A256:F256"/>
    <mergeCell ref="A184:C184"/>
    <mergeCell ref="A7:F7"/>
    <mergeCell ref="A15:C15"/>
    <mergeCell ref="A30:C30"/>
    <mergeCell ref="A37:F37"/>
    <mergeCell ref="A45:C45"/>
    <mergeCell ref="A60:C60"/>
    <mergeCell ref="A67:F67"/>
    <mergeCell ref="H2:I2"/>
    <mergeCell ref="A75:C75"/>
    <mergeCell ref="A91:C91"/>
    <mergeCell ref="A98:F98"/>
    <mergeCell ref="A106:C106"/>
    <mergeCell ref="I16:N16"/>
    <mergeCell ref="I46:N46"/>
    <mergeCell ref="I76:N76"/>
  </mergeCells>
  <pageMargins left="0.75" right="0.75" top="1" bottom="1" header="0.5" footer="0.5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29"/>
  <sheetViews>
    <sheetView topLeftCell="A184" workbookViewId="0">
      <selection activeCell="J224" sqref="J224"/>
    </sheetView>
  </sheetViews>
  <sheetFormatPr baseColWidth="10" defaultColWidth="20.5703125" defaultRowHeight="12.75" x14ac:dyDescent="0.2"/>
  <cols>
    <col min="1" max="6" width="20.5703125" style="6" customWidth="1"/>
    <col min="7" max="7" width="20.5703125" style="27" customWidth="1"/>
    <col min="8" max="8" width="20.5703125" style="6" customWidth="1"/>
    <col min="9" max="11" width="20.5703125" style="89" customWidth="1"/>
    <col min="12" max="13" width="20.5703125" style="27"/>
    <col min="14" max="16384" width="20.5703125" style="6"/>
  </cols>
  <sheetData>
    <row r="3" spans="1:14" x14ac:dyDescent="0.2">
      <c r="H3" s="6" t="s">
        <v>7</v>
      </c>
      <c r="I3" s="43">
        <f>'Variables y Resumen'!$D$17</f>
        <v>5.5</v>
      </c>
    </row>
    <row r="5" spans="1:14" ht="15" x14ac:dyDescent="0.2">
      <c r="A5" s="34">
        <v>43174</v>
      </c>
      <c r="B5" s="34">
        <v>43360</v>
      </c>
      <c r="C5" s="5"/>
      <c r="D5" s="5"/>
      <c r="E5" s="5"/>
      <c r="F5" s="5"/>
      <c r="G5" s="28"/>
      <c r="H5" s="5"/>
      <c r="I5" s="5"/>
      <c r="J5" s="5"/>
      <c r="K5" s="5"/>
    </row>
    <row r="7" spans="1:14" x14ac:dyDescent="0.2">
      <c r="A7" s="176" t="s">
        <v>34</v>
      </c>
      <c r="B7" s="175"/>
      <c r="C7" s="175"/>
      <c r="D7" s="175"/>
      <c r="E7" s="175"/>
    </row>
    <row r="8" spans="1:14" ht="25.5" x14ac:dyDescent="0.2">
      <c r="A8" s="7" t="s">
        <v>23</v>
      </c>
      <c r="B8" s="7" t="s">
        <v>16</v>
      </c>
      <c r="C8" s="7" t="s">
        <v>17</v>
      </c>
      <c r="D8" s="7" t="s">
        <v>63</v>
      </c>
      <c r="E8" s="7" t="s">
        <v>1</v>
      </c>
    </row>
    <row r="9" spans="1:14" x14ac:dyDescent="0.2">
      <c r="A9" s="8" t="s">
        <v>36</v>
      </c>
      <c r="B9" s="9">
        <v>0</v>
      </c>
      <c r="C9" s="9">
        <v>0</v>
      </c>
      <c r="D9" s="9">
        <v>0</v>
      </c>
      <c r="E9" s="9">
        <f>SUM(B9:C9:D9)</f>
        <v>0</v>
      </c>
    </row>
    <row r="10" spans="1:14" x14ac:dyDescent="0.2">
      <c r="A10" s="8" t="s">
        <v>110</v>
      </c>
      <c r="B10" s="9">
        <v>2307692.1</v>
      </c>
      <c r="C10" s="9">
        <f>H20</f>
        <v>1000718.7499999999</v>
      </c>
      <c r="D10" s="9">
        <f>H28</f>
        <v>189.43828763888888</v>
      </c>
      <c r="E10" s="9">
        <f>SUM(B10:C10:D10)</f>
        <v>3308600.2882876392</v>
      </c>
    </row>
    <row r="11" spans="1:14" x14ac:dyDescent="0.2">
      <c r="A11" s="8" t="s">
        <v>38</v>
      </c>
      <c r="B11" s="9">
        <f>SUM(B9:B10)</f>
        <v>2307692.1</v>
      </c>
      <c r="C11" s="9">
        <f>SUM(C9:C10)</f>
        <v>1000718.7499999999</v>
      </c>
      <c r="D11" s="9">
        <f>SUM(D9:D10)</f>
        <v>189.43828763888888</v>
      </c>
      <c r="E11" s="9">
        <f>SUM(E9:E10)</f>
        <v>3308600.2882876392</v>
      </c>
    </row>
    <row r="15" spans="1:14" x14ac:dyDescent="0.2">
      <c r="A15" s="174" t="s">
        <v>24</v>
      </c>
      <c r="B15" s="175"/>
      <c r="C15" s="175"/>
    </row>
    <row r="16" spans="1:14" ht="25.5" x14ac:dyDescent="0.2">
      <c r="A16" s="7" t="s">
        <v>23</v>
      </c>
      <c r="B16" s="7" t="s">
        <v>27</v>
      </c>
      <c r="C16" s="7" t="s">
        <v>26</v>
      </c>
      <c r="D16" s="7" t="s">
        <v>25</v>
      </c>
      <c r="E16" s="7" t="s">
        <v>21</v>
      </c>
      <c r="F16" s="7" t="s">
        <v>22</v>
      </c>
      <c r="G16" s="7" t="str">
        <f>"Días ("&amp;'Variables y Resumen'!B3&amp;")"</f>
        <v>Días (365)</v>
      </c>
      <c r="H16" s="7" t="str">
        <f>"Monto ("&amp;'Variables y Resumen'!$B$4&amp;")"</f>
        <v>Monto (360)</v>
      </c>
      <c r="I16" s="178" t="s">
        <v>139</v>
      </c>
      <c r="J16" s="179"/>
      <c r="K16" s="179"/>
      <c r="L16" s="179"/>
      <c r="M16" s="179"/>
      <c r="N16" s="180"/>
    </row>
    <row r="17" spans="1:14" x14ac:dyDescent="0.2">
      <c r="A17" s="8" t="s">
        <v>17</v>
      </c>
      <c r="B17" s="8"/>
      <c r="C17" s="8"/>
      <c r="D17" s="8"/>
      <c r="E17" s="8"/>
      <c r="F17" s="8"/>
      <c r="G17" s="7"/>
      <c r="H17" s="8"/>
      <c r="I17" s="7" t="s">
        <v>141</v>
      </c>
      <c r="J17" s="7" t="s">
        <v>142</v>
      </c>
      <c r="K17" s="7" t="s">
        <v>135</v>
      </c>
      <c r="L17" s="35" t="s">
        <v>136</v>
      </c>
      <c r="M17" s="35" t="s">
        <v>134</v>
      </c>
      <c r="N17" s="36" t="s">
        <v>137</v>
      </c>
    </row>
    <row r="18" spans="1:14" x14ac:dyDescent="0.2">
      <c r="A18" s="10" t="s">
        <v>13</v>
      </c>
      <c r="B18" s="10" t="s">
        <v>8</v>
      </c>
      <c r="C18" s="9">
        <v>25200000</v>
      </c>
      <c r="D18" s="73">
        <f>MIN('Variables y Resumen'!$B$12,MIN('Variables y Resumen'!$B$5,$I$3)+N18 )</f>
        <v>6.4562499999999998</v>
      </c>
      <c r="E18" s="12">
        <v>43174</v>
      </c>
      <c r="F18" s="12">
        <v>43360</v>
      </c>
      <c r="G18" s="41">
        <f>IF('Variables y Resumen'!$B$3=360,DAYS360(E18,F18),F18-E18)</f>
        <v>186</v>
      </c>
      <c r="H18" s="9">
        <f>C18*D18%/MID($H$16,8,3)*G18</f>
        <v>840603.74999999988</v>
      </c>
      <c r="I18" s="96">
        <f>VLOOKUP(A5,Tabla_Libor,8,0)</f>
        <v>2.3417500000000002</v>
      </c>
      <c r="J18" s="95">
        <f>VLOOKUP(B5,Tabla_Libor,8,0)</f>
        <v>2.5707499999999999</v>
      </c>
      <c r="K18" s="38">
        <f>(I18+J18)/2</f>
        <v>2.4562499999999998</v>
      </c>
      <c r="L18" s="97">
        <v>2.3049999999999997</v>
      </c>
      <c r="M18" s="51">
        <f>MIN(I18:L18)</f>
        <v>2.3049999999999997</v>
      </c>
      <c r="N18" s="37">
        <f>HLOOKUP(Selección_Libor,I17:M18,2,0)</f>
        <v>2.4562499999999998</v>
      </c>
    </row>
    <row r="19" spans="1:14" x14ac:dyDescent="0.2">
      <c r="A19" s="10" t="s">
        <v>13</v>
      </c>
      <c r="B19" s="10" t="s">
        <v>8</v>
      </c>
      <c r="C19" s="9">
        <v>4800000</v>
      </c>
      <c r="D19" s="73">
        <f>D18</f>
        <v>6.4562499999999998</v>
      </c>
      <c r="E19" s="12">
        <v>43174</v>
      </c>
      <c r="F19" s="12">
        <v>43360</v>
      </c>
      <c r="G19" s="41">
        <f>IF('Variables y Resumen'!$B$3=360,DAYS360(E19,F19),F19-E19)</f>
        <v>186</v>
      </c>
      <c r="H19" s="9">
        <f>C19*D19%/MID($H$16,8,3)*G19</f>
        <v>160115</v>
      </c>
      <c r="I19" s="98"/>
      <c r="J19" s="98"/>
      <c r="K19" s="98"/>
    </row>
    <row r="20" spans="1:14" x14ac:dyDescent="0.2">
      <c r="A20" s="8" t="s">
        <v>1</v>
      </c>
      <c r="B20" s="8" t="s">
        <v>2</v>
      </c>
      <c r="C20" s="8" t="s">
        <v>2</v>
      </c>
      <c r="D20" s="8" t="s">
        <v>2</v>
      </c>
      <c r="E20" s="8" t="s">
        <v>2</v>
      </c>
      <c r="F20" s="8" t="s">
        <v>2</v>
      </c>
      <c r="G20" s="7" t="s">
        <v>2</v>
      </c>
      <c r="H20" s="13">
        <f>SUM(H18:H19)</f>
        <v>1000718.7499999999</v>
      </c>
      <c r="I20" s="99"/>
      <c r="J20" s="99"/>
      <c r="K20" s="99"/>
    </row>
    <row r="23" spans="1:14" ht="25.5" x14ac:dyDescent="0.2">
      <c r="A23" s="7" t="s">
        <v>23</v>
      </c>
      <c r="B23" s="7" t="s">
        <v>27</v>
      </c>
      <c r="C23" s="7" t="s">
        <v>26</v>
      </c>
      <c r="D23" s="7" t="s">
        <v>25</v>
      </c>
      <c r="E23" s="7" t="s">
        <v>21</v>
      </c>
      <c r="F23" s="7" t="s">
        <v>22</v>
      </c>
      <c r="G23" s="7" t="str">
        <f>G16</f>
        <v>Días (365)</v>
      </c>
      <c r="H23" s="7" t="str">
        <f>H16</f>
        <v>Monto (360)</v>
      </c>
      <c r="I23" s="92"/>
      <c r="J23" s="92"/>
      <c r="K23" s="92"/>
    </row>
    <row r="24" spans="1:14" x14ac:dyDescent="0.2">
      <c r="A24" s="8" t="s">
        <v>20</v>
      </c>
      <c r="B24" s="8"/>
      <c r="C24" s="8"/>
      <c r="D24" s="8"/>
      <c r="E24" s="8"/>
      <c r="F24" s="8"/>
      <c r="G24" s="7"/>
      <c r="H24" s="8"/>
      <c r="I24" s="100"/>
      <c r="J24" s="100"/>
      <c r="K24" s="100"/>
    </row>
    <row r="25" spans="1:14" x14ac:dyDescent="0.2">
      <c r="A25" s="10" t="s">
        <v>29</v>
      </c>
      <c r="B25" s="10" t="s">
        <v>28</v>
      </c>
      <c r="C25" s="9">
        <v>0</v>
      </c>
      <c r="D25" s="73">
        <f>MIN('Variables y Resumen'!$B$7,'Variables y Resumen'!$B$12-D18)</f>
        <v>4.3750000000000178E-2</v>
      </c>
      <c r="E25" s="12"/>
      <c r="F25" s="12"/>
      <c r="G25" s="41"/>
      <c r="H25" s="9"/>
      <c r="I25" s="98"/>
      <c r="J25" s="98"/>
      <c r="K25" s="98"/>
    </row>
    <row r="26" spans="1:14" x14ac:dyDescent="0.2">
      <c r="A26" s="10" t="s">
        <v>30</v>
      </c>
      <c r="B26" s="10" t="s">
        <v>28</v>
      </c>
      <c r="C26" s="9">
        <v>167871.47</v>
      </c>
      <c r="D26" s="73">
        <f>MIN(D18+'Variables y Resumen'!$B$7,'Variables y Resumen'!$B$12)</f>
        <v>6.5</v>
      </c>
      <c r="E26" s="12">
        <v>43174</v>
      </c>
      <c r="F26" s="12">
        <v>43175</v>
      </c>
      <c r="G26" s="41">
        <f>IF('Variables y Resumen'!$B$3=360,DAYS360(E26,F26),F26-E26)</f>
        <v>1</v>
      </c>
      <c r="H26" s="48">
        <f>IF('Variables y Resumen'!$B$11="SI",C26*D26%/MID($H$16,8,3)*G26,0)</f>
        <v>30.310126527777779</v>
      </c>
      <c r="I26" s="90"/>
      <c r="J26" s="90"/>
      <c r="K26" s="90"/>
    </row>
    <row r="27" spans="1:14" x14ac:dyDescent="0.2">
      <c r="A27" s="10" t="s">
        <v>30</v>
      </c>
      <c r="B27" s="10" t="s">
        <v>28</v>
      </c>
      <c r="C27" s="9">
        <v>881325.2</v>
      </c>
      <c r="D27" s="73">
        <f>D26</f>
        <v>6.5</v>
      </c>
      <c r="E27" s="12">
        <v>43174</v>
      </c>
      <c r="F27" s="12">
        <v>43175</v>
      </c>
      <c r="G27" s="41">
        <f>IF('Variables y Resumen'!$B$3=360,DAYS360(E27,F27),F27-E27)</f>
        <v>1</v>
      </c>
      <c r="H27" s="48">
        <f>IF('Variables y Resumen'!$B$11="SI",C27*D27%/MID($H$16,8,3)*G27,0)</f>
        <v>159.1281611111111</v>
      </c>
      <c r="I27" s="90"/>
      <c r="J27" s="90"/>
      <c r="K27" s="90"/>
    </row>
    <row r="28" spans="1:14" x14ac:dyDescent="0.2">
      <c r="A28" s="8" t="s">
        <v>1</v>
      </c>
      <c r="B28" s="8" t="s">
        <v>2</v>
      </c>
      <c r="C28" s="8" t="s">
        <v>2</v>
      </c>
      <c r="D28" s="8" t="s">
        <v>2</v>
      </c>
      <c r="E28" s="8" t="s">
        <v>2</v>
      </c>
      <c r="F28" s="8" t="s">
        <v>2</v>
      </c>
      <c r="G28" s="7" t="s">
        <v>2</v>
      </c>
      <c r="H28" s="13">
        <f>SUM(H25:H27)</f>
        <v>189.43828763888888</v>
      </c>
      <c r="I28" s="99"/>
      <c r="J28" s="99"/>
      <c r="K28" s="99"/>
    </row>
    <row r="30" spans="1:14" ht="15" x14ac:dyDescent="0.2">
      <c r="A30" s="34">
        <f>B5</f>
        <v>43360</v>
      </c>
      <c r="B30" s="34">
        <v>43539</v>
      </c>
      <c r="C30" s="5"/>
      <c r="D30" s="5"/>
      <c r="E30" s="5"/>
      <c r="F30" s="5"/>
      <c r="G30" s="28"/>
      <c r="H30" s="5"/>
      <c r="I30" s="5"/>
      <c r="J30" s="5"/>
      <c r="K30" s="5"/>
    </row>
    <row r="32" spans="1:14" x14ac:dyDescent="0.2">
      <c r="A32" s="176" t="s">
        <v>34</v>
      </c>
      <c r="B32" s="175"/>
      <c r="C32" s="175"/>
      <c r="D32" s="175"/>
      <c r="E32" s="175"/>
    </row>
    <row r="33" spans="1:14" ht="25.5" x14ac:dyDescent="0.2">
      <c r="A33" s="7" t="s">
        <v>23</v>
      </c>
      <c r="B33" s="7" t="s">
        <v>16</v>
      </c>
      <c r="C33" s="7" t="s">
        <v>17</v>
      </c>
      <c r="D33" s="7" t="s">
        <v>63</v>
      </c>
      <c r="E33" s="7" t="s">
        <v>1</v>
      </c>
    </row>
    <row r="34" spans="1:14" x14ac:dyDescent="0.2">
      <c r="A34" s="8" t="s">
        <v>36</v>
      </c>
      <c r="B34" s="9">
        <f>B11</f>
        <v>2307692.1</v>
      </c>
      <c r="C34" s="9">
        <f>C11</f>
        <v>1000718.7499999999</v>
      </c>
      <c r="D34" s="9">
        <f>D11</f>
        <v>189.43828763888888</v>
      </c>
      <c r="E34" s="9">
        <f>SUM(B34:C34:D34)</f>
        <v>3308600.2882876392</v>
      </c>
    </row>
    <row r="35" spans="1:14" x14ac:dyDescent="0.2">
      <c r="A35" s="8" t="s">
        <v>110</v>
      </c>
      <c r="B35" s="9">
        <v>2307692.1</v>
      </c>
      <c r="C35" s="9">
        <f>H45</f>
        <v>969583.33333333326</v>
      </c>
      <c r="D35" s="9">
        <f>H52</f>
        <v>32342.674045138883</v>
      </c>
      <c r="E35" s="9">
        <f>SUM(B35:C35:D35)</f>
        <v>3309618.1073784726</v>
      </c>
    </row>
    <row r="36" spans="1:14" x14ac:dyDescent="0.2">
      <c r="A36" s="8" t="s">
        <v>38</v>
      </c>
      <c r="B36" s="9">
        <f>SUM(B34:B35)</f>
        <v>4615384.2</v>
      </c>
      <c r="C36" s="9">
        <f>SUM(C34:C35)</f>
        <v>1970302.083333333</v>
      </c>
      <c r="D36" s="9">
        <f>SUM(D34:D35)</f>
        <v>32532.112332777771</v>
      </c>
      <c r="E36" s="9">
        <f>SUM(E34:E35)</f>
        <v>6618218.3956661113</v>
      </c>
    </row>
    <row r="40" spans="1:14" x14ac:dyDescent="0.2">
      <c r="A40" s="174" t="s">
        <v>24</v>
      </c>
      <c r="B40" s="175"/>
      <c r="C40" s="175"/>
    </row>
    <row r="41" spans="1:14" ht="25.5" x14ac:dyDescent="0.2">
      <c r="A41" s="7" t="s">
        <v>23</v>
      </c>
      <c r="B41" s="7" t="s">
        <v>27</v>
      </c>
      <c r="C41" s="7" t="s">
        <v>26</v>
      </c>
      <c r="D41" s="7" t="s">
        <v>25</v>
      </c>
      <c r="E41" s="7" t="s">
        <v>21</v>
      </c>
      <c r="F41" s="7" t="s">
        <v>22</v>
      </c>
      <c r="G41" s="7" t="str">
        <f>G23</f>
        <v>Días (365)</v>
      </c>
      <c r="H41" s="7" t="str">
        <f>H23</f>
        <v>Monto (360)</v>
      </c>
      <c r="I41" s="178" t="s">
        <v>139</v>
      </c>
      <c r="J41" s="179"/>
      <c r="K41" s="179"/>
      <c r="L41" s="179"/>
      <c r="M41" s="179"/>
      <c r="N41" s="180"/>
    </row>
    <row r="42" spans="1:14" x14ac:dyDescent="0.2">
      <c r="A42" s="8" t="s">
        <v>17</v>
      </c>
      <c r="B42" s="8"/>
      <c r="C42" s="8"/>
      <c r="D42" s="8"/>
      <c r="E42" s="8"/>
      <c r="F42" s="8"/>
      <c r="G42" s="7"/>
      <c r="H42" s="8"/>
      <c r="I42" s="7" t="s">
        <v>141</v>
      </c>
      <c r="J42" s="7" t="s">
        <v>142</v>
      </c>
      <c r="K42" s="7" t="s">
        <v>135</v>
      </c>
      <c r="L42" s="35" t="s">
        <v>136</v>
      </c>
      <c r="M42" s="35" t="s">
        <v>134</v>
      </c>
      <c r="N42" s="36" t="s">
        <v>137</v>
      </c>
    </row>
    <row r="43" spans="1:14" x14ac:dyDescent="0.2">
      <c r="A43" s="10" t="s">
        <v>13</v>
      </c>
      <c r="B43" s="10" t="s">
        <v>8</v>
      </c>
      <c r="C43" s="9">
        <v>25200000</v>
      </c>
      <c r="D43" s="73">
        <f>MIN('Variables y Resumen'!$B$12,MIN('Variables y Resumen'!$B$5,$I$3)+N43 )</f>
        <v>6.5</v>
      </c>
      <c r="E43" s="12">
        <v>43360</v>
      </c>
      <c r="F43" s="12">
        <v>43539</v>
      </c>
      <c r="G43" s="41">
        <f>IF('Variables y Resumen'!$B$3=360,DAYS360(E43,F43),F43-E43)</f>
        <v>179</v>
      </c>
      <c r="H43" s="9">
        <f t="shared" ref="H43:H44" si="0">C43*D43%/MID($H$16,8,3)*G43</f>
        <v>814450</v>
      </c>
      <c r="I43" s="96">
        <f>VLOOKUP(A30,Tabla_Libor,8,0)</f>
        <v>2.5707499999999999</v>
      </c>
      <c r="J43" s="95">
        <f>VLOOKUP(B30,Tabla_Libor,8,0)</f>
        <v>2.6717499999999998</v>
      </c>
      <c r="K43" s="38">
        <f>(I43+J43)/2</f>
        <v>2.6212499999999999</v>
      </c>
      <c r="L43" s="97">
        <v>2.5679999999999996</v>
      </c>
      <c r="M43" s="51">
        <f>MIN(I43:L43)</f>
        <v>2.5679999999999996</v>
      </c>
      <c r="N43" s="37">
        <f>HLOOKUP(Selección_Libor,I42:M43,2,0)</f>
        <v>2.6212499999999999</v>
      </c>
    </row>
    <row r="44" spans="1:14" x14ac:dyDescent="0.2">
      <c r="A44" s="10" t="s">
        <v>13</v>
      </c>
      <c r="B44" s="10" t="s">
        <v>8</v>
      </c>
      <c r="C44" s="9">
        <v>4800000</v>
      </c>
      <c r="D44" s="73">
        <f>D43</f>
        <v>6.5</v>
      </c>
      <c r="E44" s="12">
        <v>43360</v>
      </c>
      <c r="F44" s="12">
        <v>43539</v>
      </c>
      <c r="G44" s="41">
        <f>IF('Variables y Resumen'!$B$3=360,DAYS360(E44,F44),F44-E44)</f>
        <v>179</v>
      </c>
      <c r="H44" s="9">
        <f t="shared" si="0"/>
        <v>155133.33333333331</v>
      </c>
      <c r="I44" s="98"/>
      <c r="J44" s="98"/>
      <c r="K44" s="98"/>
    </row>
    <row r="45" spans="1:14" x14ac:dyDescent="0.2">
      <c r="A45" s="8" t="s">
        <v>1</v>
      </c>
      <c r="B45" s="8" t="s">
        <v>2</v>
      </c>
      <c r="C45" s="8" t="s">
        <v>2</v>
      </c>
      <c r="D45" s="8" t="s">
        <v>2</v>
      </c>
      <c r="E45" s="8" t="s">
        <v>2</v>
      </c>
      <c r="F45" s="8" t="s">
        <v>2</v>
      </c>
      <c r="G45" s="7" t="s">
        <v>2</v>
      </c>
      <c r="H45" s="13">
        <f>SUM(H43:H44)</f>
        <v>969583.33333333326</v>
      </c>
      <c r="I45" s="99"/>
      <c r="J45" s="99"/>
      <c r="K45" s="99"/>
    </row>
    <row r="48" spans="1:14" ht="25.5" x14ac:dyDescent="0.2">
      <c r="A48" s="7" t="s">
        <v>23</v>
      </c>
      <c r="B48" s="7" t="s">
        <v>27</v>
      </c>
      <c r="C48" s="7" t="s">
        <v>26</v>
      </c>
      <c r="D48" s="7" t="s">
        <v>25</v>
      </c>
      <c r="E48" s="7" t="s">
        <v>21</v>
      </c>
      <c r="F48" s="7" t="s">
        <v>22</v>
      </c>
      <c r="G48" s="7" t="str">
        <f>G41</f>
        <v>Días (365)</v>
      </c>
      <c r="H48" s="7" t="str">
        <f>H41</f>
        <v>Monto (360)</v>
      </c>
      <c r="I48" s="92"/>
      <c r="J48" s="92"/>
      <c r="K48" s="92"/>
    </row>
    <row r="49" spans="1:11" x14ac:dyDescent="0.2">
      <c r="A49" s="8" t="s">
        <v>20</v>
      </c>
      <c r="B49" s="8"/>
      <c r="C49" s="8"/>
      <c r="D49" s="8"/>
      <c r="E49" s="8"/>
      <c r="F49" s="8"/>
      <c r="G49" s="7"/>
      <c r="H49" s="8"/>
      <c r="I49" s="100"/>
      <c r="J49" s="100"/>
      <c r="K49" s="100"/>
    </row>
    <row r="50" spans="1:11" x14ac:dyDescent="0.2">
      <c r="A50" s="10" t="s">
        <v>29</v>
      </c>
      <c r="B50" s="10" t="s">
        <v>28</v>
      </c>
      <c r="C50" s="9">
        <f>B34</f>
        <v>2307692.1</v>
      </c>
      <c r="D50" s="73">
        <f>MIN('Variables y Resumen'!$B$7,'Variables y Resumen'!$B$12-D43)</f>
        <v>0</v>
      </c>
      <c r="E50" s="12">
        <v>43360</v>
      </c>
      <c r="F50" s="12">
        <v>43539</v>
      </c>
      <c r="G50" s="41">
        <f>IF('Variables y Resumen'!$B$3=360,DAYS360(E50,F50),F50-E50)</f>
        <v>179</v>
      </c>
      <c r="H50" s="9">
        <f t="shared" ref="H50" si="1">C50*D50%/MID($H$16,8,3)*G50</f>
        <v>0</v>
      </c>
      <c r="I50" s="98"/>
      <c r="J50" s="98"/>
      <c r="K50" s="98"/>
    </row>
    <row r="51" spans="1:11" x14ac:dyDescent="0.2">
      <c r="A51" s="10" t="s">
        <v>30</v>
      </c>
      <c r="B51" s="10" t="s">
        <v>28</v>
      </c>
      <c r="C51" s="9">
        <f>C34</f>
        <v>1000718.7499999999</v>
      </c>
      <c r="D51" s="73">
        <f>MIN(D43+'Variables y Resumen'!$B$7,'Variables y Resumen'!$B$12)</f>
        <v>6.5</v>
      </c>
      <c r="E51" s="12">
        <v>43360</v>
      </c>
      <c r="F51" s="12">
        <v>43539</v>
      </c>
      <c r="G51" s="41">
        <f>IF('Variables y Resumen'!$B$3=360,DAYS360(E51,F51),F51-E51)</f>
        <v>179</v>
      </c>
      <c r="H51" s="48">
        <f>IF('Variables y Resumen'!$B$11="SI",C51*D51%/MID($H$16,8,3)*G51,0)</f>
        <v>32342.674045138883</v>
      </c>
      <c r="I51" s="90"/>
      <c r="J51" s="90"/>
      <c r="K51" s="90"/>
    </row>
    <row r="52" spans="1:11" x14ac:dyDescent="0.2">
      <c r="A52" s="8" t="s">
        <v>1</v>
      </c>
      <c r="B52" s="8" t="s">
        <v>2</v>
      </c>
      <c r="C52" s="8" t="s">
        <v>2</v>
      </c>
      <c r="D52" s="8" t="s">
        <v>2</v>
      </c>
      <c r="E52" s="8" t="s">
        <v>2</v>
      </c>
      <c r="F52" s="8" t="s">
        <v>2</v>
      </c>
      <c r="G52" s="7" t="s">
        <v>2</v>
      </c>
      <c r="H52" s="13">
        <f>SUM(H50:H51)</f>
        <v>32342.674045138883</v>
      </c>
      <c r="I52" s="99"/>
      <c r="J52" s="99"/>
      <c r="K52" s="99"/>
    </row>
    <row r="54" spans="1:11" ht="15" x14ac:dyDescent="0.2">
      <c r="A54" s="34">
        <f>B30</f>
        <v>43539</v>
      </c>
      <c r="B54" s="34">
        <v>43724</v>
      </c>
      <c r="C54" s="5"/>
      <c r="D54" s="5"/>
      <c r="E54" s="5"/>
      <c r="F54" s="5"/>
      <c r="G54" s="28"/>
      <c r="H54" s="5"/>
      <c r="I54" s="5"/>
      <c r="J54" s="5"/>
      <c r="K54" s="5"/>
    </row>
    <row r="56" spans="1:11" x14ac:dyDescent="0.2">
      <c r="A56" s="176" t="s">
        <v>34</v>
      </c>
      <c r="B56" s="175"/>
      <c r="C56" s="175"/>
      <c r="D56" s="175"/>
      <c r="E56" s="175"/>
    </row>
    <row r="57" spans="1:11" ht="25.5" x14ac:dyDescent="0.2">
      <c r="A57" s="7" t="s">
        <v>23</v>
      </c>
      <c r="B57" s="7" t="s">
        <v>16</v>
      </c>
      <c r="C57" s="7" t="s">
        <v>17</v>
      </c>
      <c r="D57" s="7" t="s">
        <v>63</v>
      </c>
      <c r="E57" s="7" t="s">
        <v>1</v>
      </c>
    </row>
    <row r="58" spans="1:11" x14ac:dyDescent="0.2">
      <c r="A58" s="8" t="s">
        <v>36</v>
      </c>
      <c r="B58" s="9">
        <f>B36</f>
        <v>4615384.2</v>
      </c>
      <c r="C58" s="9">
        <f>C36</f>
        <v>1970302.083333333</v>
      </c>
      <c r="D58" s="9">
        <f>D36</f>
        <v>32532.112332777771</v>
      </c>
      <c r="E58" s="9">
        <f>SUM(B58:C58:D58)</f>
        <v>6618218.3956661113</v>
      </c>
    </row>
    <row r="59" spans="1:11" x14ac:dyDescent="0.2">
      <c r="A59" s="8" t="s">
        <v>110</v>
      </c>
      <c r="B59" s="9">
        <v>2307692.1</v>
      </c>
      <c r="C59" s="9">
        <f>H69</f>
        <v>982793.22916666651</v>
      </c>
      <c r="D59" s="9">
        <f>H77</f>
        <v>69867.933629808991</v>
      </c>
      <c r="E59" s="9">
        <f>SUM(B59:C59:D59)</f>
        <v>3360353.2627964756</v>
      </c>
    </row>
    <row r="60" spans="1:11" x14ac:dyDescent="0.2">
      <c r="A60" s="8" t="s">
        <v>38</v>
      </c>
      <c r="B60" s="9">
        <f>SUM(B58:B59)</f>
        <v>6923076.3000000007</v>
      </c>
      <c r="C60" s="9">
        <f>SUM(C58:C59)</f>
        <v>2953095.3124999995</v>
      </c>
      <c r="D60" s="9">
        <f>SUM(D58:D59)</f>
        <v>102400.04596258677</v>
      </c>
      <c r="E60" s="9">
        <f>SUM(E58:E59)</f>
        <v>9978571.6584625877</v>
      </c>
    </row>
    <row r="64" spans="1:11" x14ac:dyDescent="0.2">
      <c r="A64" s="174" t="s">
        <v>24</v>
      </c>
      <c r="B64" s="175"/>
      <c r="C64" s="175"/>
    </row>
    <row r="65" spans="1:14" ht="25.5" x14ac:dyDescent="0.2">
      <c r="A65" s="7" t="s">
        <v>23</v>
      </c>
      <c r="B65" s="7" t="s">
        <v>27</v>
      </c>
      <c r="C65" s="7" t="s">
        <v>26</v>
      </c>
      <c r="D65" s="7" t="s">
        <v>25</v>
      </c>
      <c r="E65" s="7" t="s">
        <v>21</v>
      </c>
      <c r="F65" s="7" t="s">
        <v>22</v>
      </c>
      <c r="G65" s="7" t="str">
        <f>G48</f>
        <v>Días (365)</v>
      </c>
      <c r="H65" s="7" t="str">
        <f>H48</f>
        <v>Monto (360)</v>
      </c>
      <c r="I65" s="178" t="s">
        <v>139</v>
      </c>
      <c r="J65" s="179"/>
      <c r="K65" s="179"/>
      <c r="L65" s="179"/>
      <c r="M65" s="179"/>
      <c r="N65" s="180"/>
    </row>
    <row r="66" spans="1:14" x14ac:dyDescent="0.2">
      <c r="A66" s="8" t="s">
        <v>17</v>
      </c>
      <c r="B66" s="8"/>
      <c r="C66" s="8"/>
      <c r="D66" s="8"/>
      <c r="E66" s="8"/>
      <c r="F66" s="8"/>
      <c r="G66" s="7"/>
      <c r="H66" s="8"/>
      <c r="I66" s="7" t="s">
        <v>141</v>
      </c>
      <c r="J66" s="7" t="s">
        <v>142</v>
      </c>
      <c r="K66" s="7" t="s">
        <v>135</v>
      </c>
      <c r="L66" s="35" t="s">
        <v>136</v>
      </c>
      <c r="M66" s="35" t="s">
        <v>134</v>
      </c>
      <c r="N66" s="36" t="s">
        <v>137</v>
      </c>
    </row>
    <row r="67" spans="1:14" x14ac:dyDescent="0.2">
      <c r="A67" s="10" t="s">
        <v>13</v>
      </c>
      <c r="B67" s="10" t="s">
        <v>8</v>
      </c>
      <c r="C67" s="9">
        <v>25200000</v>
      </c>
      <c r="D67" s="73">
        <f>MIN('Variables y Resumen'!$B$12,MIN('Variables y Resumen'!$B$5,$I$3)+N67 )</f>
        <v>6.3748749999999994</v>
      </c>
      <c r="E67" s="12">
        <v>43539</v>
      </c>
      <c r="F67" s="12">
        <v>43724</v>
      </c>
      <c r="G67" s="41">
        <f>IF('Variables y Resumen'!$B$3=360,DAYS360(E67,F67),F67-E67)</f>
        <v>185</v>
      </c>
      <c r="H67" s="9">
        <f t="shared" ref="H67:H68" si="2">C67*D67%/MID($H$16,8,3)*G67</f>
        <v>825546.31249999988</v>
      </c>
      <c r="I67" s="96">
        <f>VLOOKUP(A54,Tabla_Libor,8,0)</f>
        <v>2.6717499999999998</v>
      </c>
      <c r="J67" s="95">
        <f>VLOOKUP(B54,Tabla_Libor,8,0)</f>
        <v>2.0779999999999998</v>
      </c>
      <c r="K67" s="38">
        <f>(I67+J67)/2</f>
        <v>2.3748749999999998</v>
      </c>
      <c r="L67" s="97">
        <v>2.6769999999999996</v>
      </c>
      <c r="M67" s="51">
        <f>MIN(I67:L67)</f>
        <v>2.0779999999999998</v>
      </c>
      <c r="N67" s="37">
        <f>HLOOKUP(Selección_Libor,I66:M67,2,0)</f>
        <v>2.3748749999999998</v>
      </c>
    </row>
    <row r="68" spans="1:14" x14ac:dyDescent="0.2">
      <c r="A68" s="10" t="s">
        <v>13</v>
      </c>
      <c r="B68" s="10" t="s">
        <v>8</v>
      </c>
      <c r="C68" s="9">
        <v>4800000</v>
      </c>
      <c r="D68" s="73">
        <f>D67</f>
        <v>6.3748749999999994</v>
      </c>
      <c r="E68" s="12">
        <v>43539</v>
      </c>
      <c r="F68" s="12">
        <v>43724</v>
      </c>
      <c r="G68" s="41">
        <f>IF('Variables y Resumen'!$B$3=360,DAYS360(E68,F68),F68-E68)</f>
        <v>185</v>
      </c>
      <c r="H68" s="9">
        <f t="shared" si="2"/>
        <v>157246.91666666663</v>
      </c>
      <c r="I68" s="98"/>
      <c r="J68" s="98"/>
      <c r="K68" s="98"/>
    </row>
    <row r="69" spans="1:14" x14ac:dyDescent="0.2">
      <c r="A69" s="8" t="s">
        <v>1</v>
      </c>
      <c r="B69" s="8" t="s">
        <v>2</v>
      </c>
      <c r="C69" s="8" t="s">
        <v>2</v>
      </c>
      <c r="D69" s="8" t="s">
        <v>2</v>
      </c>
      <c r="E69" s="8" t="s">
        <v>2</v>
      </c>
      <c r="F69" s="8" t="s">
        <v>2</v>
      </c>
      <c r="G69" s="7" t="s">
        <v>2</v>
      </c>
      <c r="H69" s="13">
        <f>SUM(H67:H68)</f>
        <v>982793.22916666651</v>
      </c>
      <c r="I69" s="99"/>
      <c r="J69" s="99"/>
      <c r="K69" s="99"/>
    </row>
    <row r="72" spans="1:14" ht="25.5" x14ac:dyDescent="0.2">
      <c r="A72" s="7" t="s">
        <v>23</v>
      </c>
      <c r="B72" s="7" t="s">
        <v>27</v>
      </c>
      <c r="C72" s="7" t="s">
        <v>26</v>
      </c>
      <c r="D72" s="7" t="s">
        <v>25</v>
      </c>
      <c r="E72" s="7" t="s">
        <v>21</v>
      </c>
      <c r="F72" s="7" t="s">
        <v>22</v>
      </c>
      <c r="G72" s="7" t="str">
        <f>G65</f>
        <v>Días (365)</v>
      </c>
      <c r="H72" s="7" t="str">
        <f>H65</f>
        <v>Monto (360)</v>
      </c>
      <c r="I72" s="92"/>
      <c r="J72" s="92"/>
      <c r="K72" s="92"/>
    </row>
    <row r="73" spans="1:14" x14ac:dyDescent="0.2">
      <c r="A73" s="8" t="s">
        <v>20</v>
      </c>
      <c r="B73" s="8"/>
      <c r="C73" s="8"/>
      <c r="D73" s="8"/>
      <c r="E73" s="8"/>
      <c r="F73" s="8"/>
      <c r="G73" s="7"/>
      <c r="H73" s="8"/>
      <c r="I73" s="100"/>
      <c r="J73" s="100"/>
      <c r="K73" s="100"/>
    </row>
    <row r="74" spans="1:14" x14ac:dyDescent="0.2">
      <c r="A74" s="10" t="s">
        <v>29</v>
      </c>
      <c r="B74" s="10" t="s">
        <v>28</v>
      </c>
      <c r="C74" s="9">
        <f>B58</f>
        <v>4615384.2</v>
      </c>
      <c r="D74" s="73">
        <f>MIN('Variables y Resumen'!$B$7,'Variables y Resumen'!$B$12-D67)</f>
        <v>0.1251250000000006</v>
      </c>
      <c r="E74" s="12">
        <v>43539</v>
      </c>
      <c r="F74" s="12">
        <v>43724</v>
      </c>
      <c r="G74" s="41">
        <f>IF('Variables y Resumen'!$B$3=360,DAYS360(E74,F74),F74-E74)</f>
        <v>185</v>
      </c>
      <c r="H74" s="9">
        <f t="shared" ref="H74" si="3">C74*D74%/MID($H$16,8,3)*G74</f>
        <v>2967.7080662395979</v>
      </c>
      <c r="I74" s="98"/>
      <c r="J74" s="98"/>
      <c r="K74" s="98"/>
    </row>
    <row r="75" spans="1:14" x14ac:dyDescent="0.2">
      <c r="A75" s="10" t="s">
        <v>30</v>
      </c>
      <c r="B75" s="10" t="s">
        <v>28</v>
      </c>
      <c r="C75" s="9">
        <f>C58</f>
        <v>1970302.083333333</v>
      </c>
      <c r="D75" s="73">
        <f>MIN(D67+'Variables y Resumen'!$B$7,'Variables y Resumen'!$B$12)</f>
        <v>6.5</v>
      </c>
      <c r="E75" s="12">
        <v>43539</v>
      </c>
      <c r="F75" s="12">
        <v>43724</v>
      </c>
      <c r="G75" s="41">
        <f>IF('Variables y Resumen'!$B$3=360,DAYS360(E75,F75),F75-E75)</f>
        <v>185</v>
      </c>
      <c r="H75" s="48">
        <f>IF('Variables y Resumen'!$B$11="SI",C75*D75%/MID($H$16,8,3)*G75,0)</f>
        <v>65813.562644675912</v>
      </c>
      <c r="I75" s="90"/>
      <c r="J75" s="90"/>
      <c r="K75" s="90"/>
    </row>
    <row r="76" spans="1:14" x14ac:dyDescent="0.2">
      <c r="A76" s="10" t="s">
        <v>30</v>
      </c>
      <c r="B76" s="10" t="s">
        <v>28</v>
      </c>
      <c r="C76" s="9">
        <f>D58</f>
        <v>32532.112332777771</v>
      </c>
      <c r="D76" s="73">
        <f>D75</f>
        <v>6.5</v>
      </c>
      <c r="E76" s="12">
        <v>43539</v>
      </c>
      <c r="F76" s="12">
        <v>43724</v>
      </c>
      <c r="G76" s="41">
        <f>IF('Variables y Resumen'!$B$3=360,DAYS360(E76,F76),F76-E76)</f>
        <v>185</v>
      </c>
      <c r="H76" s="48">
        <f>IF('Variables y Resumen'!$B$11="SI",C76*D76%/MID($H$16,8,3)*G76,0)</f>
        <v>1086.6629188934799</v>
      </c>
      <c r="I76" s="98"/>
      <c r="J76" s="98"/>
      <c r="K76" s="98"/>
    </row>
    <row r="77" spans="1:14" x14ac:dyDescent="0.2">
      <c r="A77" s="8" t="s">
        <v>1</v>
      </c>
      <c r="B77" s="8" t="s">
        <v>2</v>
      </c>
      <c r="C77" s="8" t="s">
        <v>2</v>
      </c>
      <c r="D77" s="8" t="s">
        <v>2</v>
      </c>
      <c r="E77" s="8" t="s">
        <v>2</v>
      </c>
      <c r="F77" s="8" t="s">
        <v>2</v>
      </c>
      <c r="G77" s="7" t="s">
        <v>2</v>
      </c>
      <c r="H77" s="13">
        <f>SUM(H74:H76)</f>
        <v>69867.933629808991</v>
      </c>
      <c r="I77" s="99"/>
      <c r="J77" s="99"/>
      <c r="K77" s="99"/>
    </row>
    <row r="79" spans="1:14" ht="15" x14ac:dyDescent="0.2">
      <c r="A79" s="34">
        <f>B54</f>
        <v>43724</v>
      </c>
      <c r="B79" s="34">
        <v>43906</v>
      </c>
      <c r="C79" s="5"/>
      <c r="D79" s="5"/>
      <c r="E79" s="5"/>
      <c r="F79" s="5"/>
      <c r="G79" s="28"/>
      <c r="H79" s="5"/>
      <c r="I79" s="5"/>
      <c r="J79" s="5"/>
      <c r="K79" s="5"/>
    </row>
    <row r="81" spans="1:14" x14ac:dyDescent="0.2">
      <c r="A81" s="176" t="s">
        <v>34</v>
      </c>
      <c r="B81" s="175"/>
      <c r="C81" s="175"/>
      <c r="D81" s="175"/>
      <c r="E81" s="175"/>
    </row>
    <row r="82" spans="1:14" ht="25.5" x14ac:dyDescent="0.2">
      <c r="A82" s="7" t="s">
        <v>23</v>
      </c>
      <c r="B82" s="7" t="s">
        <v>16</v>
      </c>
      <c r="C82" s="7" t="s">
        <v>17</v>
      </c>
      <c r="D82" s="7" t="s">
        <v>63</v>
      </c>
      <c r="E82" s="7" t="s">
        <v>1</v>
      </c>
    </row>
    <row r="83" spans="1:14" x14ac:dyDescent="0.2">
      <c r="A83" s="8" t="s">
        <v>36</v>
      </c>
      <c r="B83" s="9">
        <f>B60</f>
        <v>6923076.3000000007</v>
      </c>
      <c r="C83" s="9">
        <f>C60</f>
        <v>2953095.3124999995</v>
      </c>
      <c r="D83" s="9">
        <f>D60</f>
        <v>102400.04596258677</v>
      </c>
      <c r="E83" s="9">
        <f>SUM(B83:C83:D83)</f>
        <v>9978571.6584625877</v>
      </c>
    </row>
    <row r="84" spans="1:14" x14ac:dyDescent="0.2">
      <c r="A84" s="8" t="s">
        <v>110</v>
      </c>
      <c r="B84" s="9">
        <v>2307692.1</v>
      </c>
      <c r="C84" s="9">
        <f>H94</f>
        <v>828232.70833333326</v>
      </c>
      <c r="D84" s="9">
        <f>H102</f>
        <v>136776.3442006796</v>
      </c>
      <c r="E84" s="9">
        <f>SUM(B84:C84:D84)</f>
        <v>3272701.1525340131</v>
      </c>
    </row>
    <row r="85" spans="1:14" x14ac:dyDescent="0.2">
      <c r="A85" s="8" t="s">
        <v>38</v>
      </c>
      <c r="B85" s="9">
        <f>SUM(B83:B84)</f>
        <v>9230768.4000000004</v>
      </c>
      <c r="C85" s="9">
        <f>SUM(C83:C84)</f>
        <v>3781328.020833333</v>
      </c>
      <c r="D85" s="9">
        <f>SUM(D83:D84)</f>
        <v>239176.39016326636</v>
      </c>
      <c r="E85" s="9">
        <f>SUM(E83:E84)</f>
        <v>13251272.810996601</v>
      </c>
    </row>
    <row r="89" spans="1:14" x14ac:dyDescent="0.2">
      <c r="A89" s="174" t="s">
        <v>24</v>
      </c>
      <c r="B89" s="175"/>
      <c r="C89" s="175"/>
    </row>
    <row r="90" spans="1:14" ht="25.5" x14ac:dyDescent="0.2">
      <c r="A90" s="7" t="s">
        <v>23</v>
      </c>
      <c r="B90" s="7" t="s">
        <v>27</v>
      </c>
      <c r="C90" s="7" t="s">
        <v>26</v>
      </c>
      <c r="D90" s="7" t="s">
        <v>25</v>
      </c>
      <c r="E90" s="7" t="s">
        <v>21</v>
      </c>
      <c r="F90" s="7" t="s">
        <v>22</v>
      </c>
      <c r="G90" s="7" t="str">
        <f>G72</f>
        <v>Días (365)</v>
      </c>
      <c r="H90" s="7" t="str">
        <f>H72</f>
        <v>Monto (360)</v>
      </c>
      <c r="I90" s="178" t="s">
        <v>139</v>
      </c>
      <c r="J90" s="179"/>
      <c r="K90" s="179"/>
      <c r="L90" s="179"/>
      <c r="M90" s="179"/>
      <c r="N90" s="180"/>
    </row>
    <row r="91" spans="1:14" x14ac:dyDescent="0.2">
      <c r="A91" s="8" t="s">
        <v>17</v>
      </c>
      <c r="B91" s="8"/>
      <c r="C91" s="8"/>
      <c r="D91" s="8"/>
      <c r="E91" s="8"/>
      <c r="F91" s="8"/>
      <c r="G91" s="7"/>
      <c r="H91" s="8"/>
      <c r="I91" s="7" t="s">
        <v>141</v>
      </c>
      <c r="J91" s="7" t="s">
        <v>142</v>
      </c>
      <c r="K91" s="7" t="s">
        <v>135</v>
      </c>
      <c r="L91" s="35" t="s">
        <v>136</v>
      </c>
      <c r="M91" s="35" t="s">
        <v>134</v>
      </c>
      <c r="N91" s="36" t="s">
        <v>137</v>
      </c>
    </row>
    <row r="92" spans="1:14" x14ac:dyDescent="0.2">
      <c r="A92" s="10" t="s">
        <v>13</v>
      </c>
      <c r="B92" s="10" t="s">
        <v>8</v>
      </c>
      <c r="C92" s="9">
        <v>25200000</v>
      </c>
      <c r="D92" s="73">
        <f>MIN('Variables y Resumen'!$B$12,MIN('Variables y Resumen'!$B$5,$I$3)+N92 )</f>
        <v>5.4608749999999997</v>
      </c>
      <c r="E92" s="12">
        <v>43724</v>
      </c>
      <c r="F92" s="12">
        <v>43906</v>
      </c>
      <c r="G92" s="41">
        <f>IF('Variables y Resumen'!$B$3=360,DAYS360(E92,F92),F92-E92)</f>
        <v>182</v>
      </c>
      <c r="H92" s="9">
        <f t="shared" ref="H92:H93" si="4">C92*D92%/MID($H$16,8,3)*G92</f>
        <v>695715.47499999998</v>
      </c>
      <c r="I92" s="96">
        <f>VLOOKUP(A79,Tabla_Libor,8,0)</f>
        <v>2.0779999999999998</v>
      </c>
      <c r="J92" s="95">
        <f>VLOOKUP(B79,Tabla_Libor,8,0)</f>
        <v>0.84375</v>
      </c>
      <c r="K92" s="38">
        <f>(I92+J92)/2</f>
        <v>1.4608749999999999</v>
      </c>
      <c r="L92" s="97">
        <v>2.048</v>
      </c>
      <c r="M92" s="51">
        <f>MIN(I92:L92)</f>
        <v>0.84375</v>
      </c>
      <c r="N92" s="37">
        <f>HLOOKUP(Selección_Libor,I91:M92,2,0)</f>
        <v>1.4608749999999999</v>
      </c>
    </row>
    <row r="93" spans="1:14" x14ac:dyDescent="0.2">
      <c r="A93" s="10" t="s">
        <v>13</v>
      </c>
      <c r="B93" s="10" t="s">
        <v>8</v>
      </c>
      <c r="C93" s="9">
        <v>4800000</v>
      </c>
      <c r="D93" s="73">
        <f>D92</f>
        <v>5.4608749999999997</v>
      </c>
      <c r="E93" s="12">
        <v>43724</v>
      </c>
      <c r="F93" s="12">
        <v>43906</v>
      </c>
      <c r="G93" s="41">
        <f>IF('Variables y Resumen'!$B$3=360,DAYS360(E93,F93),F93-E93)</f>
        <v>182</v>
      </c>
      <c r="H93" s="9">
        <f t="shared" si="4"/>
        <v>132517.23333333334</v>
      </c>
      <c r="I93" s="98"/>
      <c r="J93" s="98"/>
      <c r="K93" s="98"/>
    </row>
    <row r="94" spans="1:14" x14ac:dyDescent="0.2">
      <c r="A94" s="8" t="s">
        <v>1</v>
      </c>
      <c r="B94" s="8" t="s">
        <v>2</v>
      </c>
      <c r="C94" s="8" t="s">
        <v>2</v>
      </c>
      <c r="D94" s="8" t="s">
        <v>2</v>
      </c>
      <c r="E94" s="8" t="s">
        <v>2</v>
      </c>
      <c r="F94" s="8" t="s">
        <v>2</v>
      </c>
      <c r="G94" s="7" t="s">
        <v>2</v>
      </c>
      <c r="H94" s="13">
        <f>SUM(H92:H93)</f>
        <v>828232.70833333326</v>
      </c>
      <c r="I94" s="99"/>
      <c r="J94" s="99"/>
      <c r="K94" s="99"/>
    </row>
    <row r="97" spans="1:11" ht="25.5" x14ac:dyDescent="0.2">
      <c r="A97" s="7" t="s">
        <v>23</v>
      </c>
      <c r="B97" s="7" t="s">
        <v>27</v>
      </c>
      <c r="C97" s="7" t="s">
        <v>26</v>
      </c>
      <c r="D97" s="7" t="s">
        <v>25</v>
      </c>
      <c r="E97" s="7" t="s">
        <v>21</v>
      </c>
      <c r="F97" s="7" t="s">
        <v>22</v>
      </c>
      <c r="G97" s="7" t="str">
        <f>G90</f>
        <v>Días (365)</v>
      </c>
      <c r="H97" s="7" t="str">
        <f>H90</f>
        <v>Monto (360)</v>
      </c>
      <c r="I97" s="92"/>
      <c r="J97" s="92"/>
      <c r="K97" s="92"/>
    </row>
    <row r="98" spans="1:11" x14ac:dyDescent="0.2">
      <c r="A98" s="8" t="s">
        <v>20</v>
      </c>
      <c r="B98" s="8"/>
      <c r="C98" s="8"/>
      <c r="D98" s="8"/>
      <c r="E98" s="8"/>
      <c r="F98" s="8"/>
      <c r="G98" s="7"/>
      <c r="H98" s="8"/>
      <c r="I98" s="100"/>
      <c r="J98" s="100"/>
      <c r="K98" s="100"/>
    </row>
    <row r="99" spans="1:11" x14ac:dyDescent="0.2">
      <c r="A99" s="10" t="s">
        <v>29</v>
      </c>
      <c r="B99" s="10" t="s">
        <v>28</v>
      </c>
      <c r="C99" s="9">
        <f>B83</f>
        <v>6923076.3000000007</v>
      </c>
      <c r="D99" s="73">
        <f>MIN('Variables y Resumen'!$B$7,'Variables y Resumen'!$B$12-D92)</f>
        <v>1.0391250000000003</v>
      </c>
      <c r="E99" s="12">
        <v>43724</v>
      </c>
      <c r="F99" s="12">
        <v>43906</v>
      </c>
      <c r="G99" s="41">
        <f>IF('Variables y Resumen'!$B$3=360,DAYS360(E99,F99),F99-E99)</f>
        <v>182</v>
      </c>
      <c r="H99" s="9">
        <f t="shared" ref="H99" si="5">C99*D99%/MID($H$16,8,3)*G99</f>
        <v>36369.371726756261</v>
      </c>
      <c r="I99" s="98"/>
      <c r="J99" s="98"/>
      <c r="K99" s="98"/>
    </row>
    <row r="100" spans="1:11" x14ac:dyDescent="0.2">
      <c r="A100" s="10" t="s">
        <v>30</v>
      </c>
      <c r="B100" s="10" t="s">
        <v>28</v>
      </c>
      <c r="C100" s="9">
        <f>C83</f>
        <v>2953095.3124999995</v>
      </c>
      <c r="D100" s="73">
        <f>MIN(D92+'Variables y Resumen'!$B$7,'Variables y Resumen'!$B$12)</f>
        <v>6.5</v>
      </c>
      <c r="E100" s="12">
        <v>43724</v>
      </c>
      <c r="F100" s="12">
        <v>43906</v>
      </c>
      <c r="G100" s="41">
        <f>IF('Variables y Resumen'!$B$3=360,DAYS360(E100,F100),F100-E100)</f>
        <v>182</v>
      </c>
      <c r="H100" s="48">
        <f>IF('Variables y Resumen'!$B$11="SI",C100*D100%/MID($H$16,8,3)*G100,0)</f>
        <v>97041.993185763873</v>
      </c>
      <c r="I100" s="90"/>
      <c r="J100" s="90"/>
      <c r="K100" s="90"/>
    </row>
    <row r="101" spans="1:11" x14ac:dyDescent="0.2">
      <c r="A101" s="10" t="s">
        <v>30</v>
      </c>
      <c r="B101" s="10" t="s">
        <v>28</v>
      </c>
      <c r="C101" s="9">
        <f>D83</f>
        <v>102400.04596258677</v>
      </c>
      <c r="D101" s="73">
        <f>D100</f>
        <v>6.5</v>
      </c>
      <c r="E101" s="12">
        <v>43724</v>
      </c>
      <c r="F101" s="12">
        <v>43906</v>
      </c>
      <c r="G101" s="41">
        <f>IF('Variables y Resumen'!$B$3=360,DAYS360(E101,F101),F101-E101)</f>
        <v>182</v>
      </c>
      <c r="H101" s="48">
        <f>IF('Variables y Resumen'!$B$11="SI",C101*D101%/MID($H$16,8,3)*G101,0)</f>
        <v>3364.979288159449</v>
      </c>
      <c r="I101" s="98"/>
      <c r="J101" s="98"/>
      <c r="K101" s="98"/>
    </row>
    <row r="102" spans="1:11" x14ac:dyDescent="0.2">
      <c r="A102" s="8" t="s">
        <v>1</v>
      </c>
      <c r="B102" s="8" t="s">
        <v>2</v>
      </c>
      <c r="C102" s="8" t="s">
        <v>2</v>
      </c>
      <c r="D102" s="8" t="s">
        <v>2</v>
      </c>
      <c r="E102" s="8" t="s">
        <v>2</v>
      </c>
      <c r="F102" s="8" t="s">
        <v>2</v>
      </c>
      <c r="G102" s="7" t="s">
        <v>2</v>
      </c>
      <c r="H102" s="13">
        <f>SUM(H99:H101)</f>
        <v>136776.3442006796</v>
      </c>
      <c r="I102" s="99"/>
      <c r="J102" s="99"/>
      <c r="K102" s="99"/>
    </row>
    <row r="105" spans="1:11" ht="15" x14ac:dyDescent="0.2">
      <c r="A105" s="34">
        <f>B79</f>
        <v>43906</v>
      </c>
      <c r="B105" s="34">
        <v>44089</v>
      </c>
      <c r="C105" s="5"/>
      <c r="D105" s="5"/>
      <c r="E105" s="5"/>
      <c r="F105" s="5"/>
      <c r="G105" s="28"/>
      <c r="H105" s="5"/>
      <c r="I105" s="5"/>
      <c r="J105" s="5"/>
      <c r="K105" s="5"/>
    </row>
    <row r="106" spans="1:11" x14ac:dyDescent="0.2">
      <c r="A106" s="176" t="s">
        <v>34</v>
      </c>
      <c r="B106" s="175"/>
      <c r="C106" s="175"/>
      <c r="D106" s="175"/>
      <c r="E106" s="175"/>
    </row>
    <row r="107" spans="1:11" ht="25.5" x14ac:dyDescent="0.2">
      <c r="A107" s="7" t="s">
        <v>23</v>
      </c>
      <c r="B107" s="7" t="s">
        <v>16</v>
      </c>
      <c r="C107" s="7" t="s">
        <v>17</v>
      </c>
      <c r="D107" s="7" t="s">
        <v>63</v>
      </c>
      <c r="E107" s="7" t="s">
        <v>1</v>
      </c>
    </row>
    <row r="108" spans="1:11" x14ac:dyDescent="0.2">
      <c r="A108" s="8" t="s">
        <v>36</v>
      </c>
      <c r="B108" s="9">
        <f>B85</f>
        <v>9230768.4000000004</v>
      </c>
      <c r="C108" s="9">
        <f>C85</f>
        <v>3781328.020833333</v>
      </c>
      <c r="D108" s="9">
        <f>D85</f>
        <v>239176.39016326636</v>
      </c>
      <c r="E108" s="9">
        <f>SUM(B108:C108:D108)</f>
        <v>13251272.810996601</v>
      </c>
    </row>
    <row r="109" spans="1:11" x14ac:dyDescent="0.2">
      <c r="A109" s="8" t="s">
        <v>110</v>
      </c>
      <c r="B109" s="9">
        <v>2307692.1</v>
      </c>
      <c r="C109" s="9">
        <f>H119</f>
        <v>695171.25000000012</v>
      </c>
      <c r="D109" s="9">
        <f>H127</f>
        <v>223945.31222706265</v>
      </c>
      <c r="E109" s="9">
        <f>SUM(B109:C109:D109)</f>
        <v>3226808.6622270625</v>
      </c>
    </row>
    <row r="110" spans="1:11" x14ac:dyDescent="0.2">
      <c r="A110" s="8" t="s">
        <v>38</v>
      </c>
      <c r="B110" s="9">
        <f>SUM(B108:B109)</f>
        <v>11538460.5</v>
      </c>
      <c r="C110" s="9">
        <f>SUM(C108:C109)</f>
        <v>4476499.270833333</v>
      </c>
      <c r="D110" s="9">
        <f>SUM(D108:D109)</f>
        <v>463121.70239032898</v>
      </c>
      <c r="E110" s="9">
        <f>SUM(E108:E109)</f>
        <v>16478081.473223664</v>
      </c>
    </row>
    <row r="114" spans="1:14" x14ac:dyDescent="0.2">
      <c r="A114" s="174" t="s">
        <v>24</v>
      </c>
      <c r="B114" s="175"/>
      <c r="C114" s="175"/>
    </row>
    <row r="115" spans="1:14" ht="25.5" x14ac:dyDescent="0.2">
      <c r="A115" s="7" t="s">
        <v>23</v>
      </c>
      <c r="B115" s="7" t="s">
        <v>27</v>
      </c>
      <c r="C115" s="7" t="s">
        <v>26</v>
      </c>
      <c r="D115" s="7" t="s">
        <v>25</v>
      </c>
      <c r="E115" s="7" t="s">
        <v>21</v>
      </c>
      <c r="F115" s="7" t="s">
        <v>22</v>
      </c>
      <c r="G115" s="7" t="str">
        <f>G97</f>
        <v>Días (365)</v>
      </c>
      <c r="H115" s="7" t="str">
        <f>H97</f>
        <v>Monto (360)</v>
      </c>
      <c r="I115" s="178" t="s">
        <v>139</v>
      </c>
      <c r="J115" s="179"/>
      <c r="K115" s="179"/>
      <c r="L115" s="179"/>
      <c r="M115" s="179"/>
      <c r="N115" s="180"/>
    </row>
    <row r="116" spans="1:14" x14ac:dyDescent="0.2">
      <c r="A116" s="8" t="s">
        <v>17</v>
      </c>
      <c r="B116" s="8"/>
      <c r="C116" s="8"/>
      <c r="D116" s="8"/>
      <c r="E116" s="8"/>
      <c r="F116" s="8"/>
      <c r="G116" s="7"/>
      <c r="H116" s="8"/>
      <c r="I116" s="7" t="s">
        <v>141</v>
      </c>
      <c r="J116" s="7" t="s">
        <v>142</v>
      </c>
      <c r="K116" s="7" t="s">
        <v>135</v>
      </c>
      <c r="L116" s="35" t="s">
        <v>136</v>
      </c>
      <c r="M116" s="35" t="s">
        <v>134</v>
      </c>
      <c r="N116" s="36" t="s">
        <v>137</v>
      </c>
    </row>
    <row r="117" spans="1:14" x14ac:dyDescent="0.2">
      <c r="A117" s="10" t="s">
        <v>13</v>
      </c>
      <c r="B117" s="10" t="s">
        <v>8</v>
      </c>
      <c r="C117" s="9">
        <v>25200000</v>
      </c>
      <c r="D117" s="73">
        <f>MIN('Variables y Resumen'!$B$12,MIN('Variables y Resumen'!$B$5,$I$3)+N117 )</f>
        <v>4.5585000000000004</v>
      </c>
      <c r="E117" s="12">
        <v>43906</v>
      </c>
      <c r="F117" s="12">
        <v>44089</v>
      </c>
      <c r="G117" s="41">
        <f>IF('Variables y Resumen'!$B$3=360,DAYS360(E117,F117),F117-E117)</f>
        <v>183</v>
      </c>
      <c r="H117" s="9">
        <f t="shared" ref="H117:H118" si="6">C117*D117%/MID($H$16,8,3)*G117</f>
        <v>583943.85000000009</v>
      </c>
      <c r="I117" s="96">
        <f>VLOOKUP(A105,Tabla_Libor,8,0)</f>
        <v>0.84375</v>
      </c>
      <c r="J117" s="95">
        <f>VLOOKUP(B105,Tabla_Libor,8,0)</f>
        <v>0.27324999999999999</v>
      </c>
      <c r="K117" s="38">
        <f>(I117+J117)/2</f>
        <v>0.5585</v>
      </c>
      <c r="L117" s="97">
        <v>0.73800000000000043</v>
      </c>
      <c r="M117" s="51">
        <f>MIN(I117:L117)</f>
        <v>0.27324999999999999</v>
      </c>
      <c r="N117" s="37">
        <f>HLOOKUP(Selección_Libor,I116:M117,2,0)</f>
        <v>0.5585</v>
      </c>
    </row>
    <row r="118" spans="1:14" x14ac:dyDescent="0.2">
      <c r="A118" s="10" t="s">
        <v>13</v>
      </c>
      <c r="B118" s="10" t="s">
        <v>8</v>
      </c>
      <c r="C118" s="9">
        <v>4800000</v>
      </c>
      <c r="D118" s="73">
        <f>D117</f>
        <v>4.5585000000000004</v>
      </c>
      <c r="E118" s="12">
        <v>43906</v>
      </c>
      <c r="F118" s="12">
        <v>44089</v>
      </c>
      <c r="G118" s="41">
        <f>IF('Variables y Resumen'!$B$3=360,DAYS360(E118,F118),F118-E118)</f>
        <v>183</v>
      </c>
      <c r="H118" s="9">
        <f t="shared" si="6"/>
        <v>111227.40000000001</v>
      </c>
      <c r="I118" s="98"/>
      <c r="J118" s="98"/>
      <c r="K118" s="98"/>
    </row>
    <row r="119" spans="1:14" x14ac:dyDescent="0.2">
      <c r="A119" s="8" t="s">
        <v>1</v>
      </c>
      <c r="B119" s="8" t="s">
        <v>2</v>
      </c>
      <c r="C119" s="8" t="s">
        <v>2</v>
      </c>
      <c r="D119" s="8" t="s">
        <v>2</v>
      </c>
      <c r="E119" s="8" t="s">
        <v>2</v>
      </c>
      <c r="F119" s="8" t="s">
        <v>2</v>
      </c>
      <c r="G119" s="7" t="s">
        <v>2</v>
      </c>
      <c r="H119" s="13">
        <f>SUM(H117:H118)</f>
        <v>695171.25000000012</v>
      </c>
      <c r="I119" s="99"/>
      <c r="J119" s="99"/>
      <c r="K119" s="99"/>
    </row>
    <row r="120" spans="1:14" x14ac:dyDescent="0.2">
      <c r="D120" s="107"/>
    </row>
    <row r="121" spans="1:14" x14ac:dyDescent="0.2">
      <c r="D121" s="107"/>
    </row>
    <row r="122" spans="1:14" ht="25.5" x14ac:dyDescent="0.2">
      <c r="A122" s="7" t="s">
        <v>23</v>
      </c>
      <c r="B122" s="7" t="s">
        <v>27</v>
      </c>
      <c r="C122" s="7" t="s">
        <v>26</v>
      </c>
      <c r="D122" s="7" t="s">
        <v>25</v>
      </c>
      <c r="E122" s="7" t="s">
        <v>21</v>
      </c>
      <c r="F122" s="7" t="s">
        <v>22</v>
      </c>
      <c r="G122" s="7" t="str">
        <f>G115</f>
        <v>Días (365)</v>
      </c>
      <c r="H122" s="7" t="str">
        <f>H115</f>
        <v>Monto (360)</v>
      </c>
      <c r="I122" s="92"/>
      <c r="J122" s="92"/>
      <c r="K122" s="92"/>
    </row>
    <row r="123" spans="1:14" x14ac:dyDescent="0.2">
      <c r="A123" s="8" t="s">
        <v>20</v>
      </c>
      <c r="B123" s="8"/>
      <c r="C123" s="8"/>
      <c r="D123" s="8"/>
      <c r="E123" s="8"/>
      <c r="F123" s="8"/>
      <c r="G123" s="7"/>
      <c r="H123" s="8"/>
      <c r="I123" s="100"/>
      <c r="J123" s="100"/>
      <c r="K123" s="100"/>
    </row>
    <row r="124" spans="1:14" x14ac:dyDescent="0.2">
      <c r="A124" s="10" t="s">
        <v>29</v>
      </c>
      <c r="B124" s="10" t="s">
        <v>28</v>
      </c>
      <c r="C124" s="9">
        <f>B108</f>
        <v>9230768.4000000004</v>
      </c>
      <c r="D124" s="73">
        <f>MIN('Variables y Resumen'!$B$7,'Variables y Resumen'!$B$12-D117)</f>
        <v>1.9414999999999996</v>
      </c>
      <c r="E124" s="12">
        <v>43906</v>
      </c>
      <c r="F124" s="12">
        <v>44089</v>
      </c>
      <c r="G124" s="41">
        <f>IF('Variables y Resumen'!$B$3=360,DAYS360(E124,F124),F124-E124)</f>
        <v>183</v>
      </c>
      <c r="H124" s="9">
        <f t="shared" ref="H124" si="7">C124*D124%/MID($H$16,8,3)*G124</f>
        <v>91101.145647049983</v>
      </c>
      <c r="I124" s="98"/>
      <c r="J124" s="98"/>
      <c r="K124" s="98"/>
    </row>
    <row r="125" spans="1:14" x14ac:dyDescent="0.2">
      <c r="A125" s="10" t="s">
        <v>30</v>
      </c>
      <c r="B125" s="10" t="s">
        <v>28</v>
      </c>
      <c r="C125" s="9">
        <f>C108</f>
        <v>3781328.020833333</v>
      </c>
      <c r="D125" s="73">
        <f>MIN(D117+'Variables y Resumen'!$B$7,'Variables y Resumen'!$B$12)</f>
        <v>6.5</v>
      </c>
      <c r="E125" s="12">
        <v>43906</v>
      </c>
      <c r="F125" s="12">
        <v>44089</v>
      </c>
      <c r="G125" s="41">
        <f>IF('Variables y Resumen'!$B$3=360,DAYS360(E125,F125),F125-E125)</f>
        <v>183</v>
      </c>
      <c r="H125" s="48">
        <f>IF('Variables y Resumen'!$B$11="SI",C125*D125%/MID($H$16,8,3)*G125,0)</f>
        <v>124941.38002170139</v>
      </c>
      <c r="I125" s="90"/>
      <c r="J125" s="90"/>
      <c r="K125" s="90"/>
    </row>
    <row r="126" spans="1:14" x14ac:dyDescent="0.2">
      <c r="A126" s="10" t="s">
        <v>30</v>
      </c>
      <c r="B126" s="10" t="s">
        <v>28</v>
      </c>
      <c r="C126" s="9">
        <f>D108</f>
        <v>239176.39016326636</v>
      </c>
      <c r="D126" s="73">
        <f>D125</f>
        <v>6.5</v>
      </c>
      <c r="E126" s="12">
        <v>43906</v>
      </c>
      <c r="F126" s="12">
        <v>44089</v>
      </c>
      <c r="G126" s="41">
        <f>IF('Variables y Resumen'!$B$3=360,DAYS360(E126,F126),F126-E126)</f>
        <v>183</v>
      </c>
      <c r="H126" s="48">
        <f>IF('Variables y Resumen'!$B$11="SI",C126*D126%/MID($H$16,8,3)*G126,0)</f>
        <v>7902.7865583112589</v>
      </c>
      <c r="I126" s="98"/>
      <c r="J126" s="98"/>
      <c r="K126" s="98"/>
    </row>
    <row r="127" spans="1:14" x14ac:dyDescent="0.2">
      <c r="A127" s="8" t="s">
        <v>1</v>
      </c>
      <c r="B127" s="8" t="s">
        <v>2</v>
      </c>
      <c r="C127" s="8" t="s">
        <v>2</v>
      </c>
      <c r="D127" s="8" t="s">
        <v>2</v>
      </c>
      <c r="E127" s="8" t="s">
        <v>2</v>
      </c>
      <c r="F127" s="8" t="s">
        <v>2</v>
      </c>
      <c r="G127" s="7" t="s">
        <v>2</v>
      </c>
      <c r="H127" s="13">
        <f>SUM(H124:H126)</f>
        <v>223945.31222706265</v>
      </c>
      <c r="I127" s="99"/>
      <c r="J127" s="99"/>
      <c r="K127" s="99"/>
    </row>
    <row r="129" spans="1:14" x14ac:dyDescent="0.2">
      <c r="G129" s="44"/>
      <c r="H129" s="42"/>
      <c r="I129" s="42"/>
      <c r="J129" s="42"/>
      <c r="K129" s="42"/>
    </row>
    <row r="130" spans="1:14" ht="15" x14ac:dyDescent="0.2">
      <c r="A130" s="34">
        <f>B105</f>
        <v>44089</v>
      </c>
      <c r="B130" s="34">
        <v>44231</v>
      </c>
      <c r="C130" s="5"/>
      <c r="D130" s="5"/>
      <c r="E130" s="5"/>
      <c r="F130" s="5"/>
      <c r="G130" s="28"/>
      <c r="H130" s="5"/>
      <c r="I130" s="5"/>
      <c r="J130" s="5"/>
      <c r="K130" s="5"/>
    </row>
    <row r="131" spans="1:14" x14ac:dyDescent="0.2">
      <c r="A131" s="176" t="s">
        <v>34</v>
      </c>
      <c r="B131" s="175"/>
      <c r="C131" s="175"/>
      <c r="D131" s="175"/>
      <c r="E131" s="175"/>
    </row>
    <row r="132" spans="1:14" ht="25.5" x14ac:dyDescent="0.2">
      <c r="A132" s="7" t="s">
        <v>23</v>
      </c>
      <c r="B132" s="7" t="s">
        <v>16</v>
      </c>
      <c r="C132" s="7" t="s">
        <v>17</v>
      </c>
      <c r="D132" s="7" t="s">
        <v>63</v>
      </c>
      <c r="E132" s="7" t="s">
        <v>1</v>
      </c>
    </row>
    <row r="133" spans="1:14" x14ac:dyDescent="0.2">
      <c r="A133" s="8" t="s">
        <v>36</v>
      </c>
      <c r="B133" s="9">
        <f>B110</f>
        <v>11538460.5</v>
      </c>
      <c r="C133" s="9">
        <f>C110</f>
        <v>4476499.270833333</v>
      </c>
      <c r="D133" s="9">
        <f>D110</f>
        <v>463121.70239032898</v>
      </c>
      <c r="E133" s="9">
        <f>SUM(B133:C133:D133)</f>
        <v>16478081.47322366</v>
      </c>
    </row>
    <row r="134" spans="1:14" x14ac:dyDescent="0.2">
      <c r="A134" s="8" t="s">
        <v>110</v>
      </c>
      <c r="B134" s="18">
        <v>18461539.5</v>
      </c>
      <c r="C134" s="9">
        <f>H144</f>
        <v>502665.20833333326</v>
      </c>
      <c r="D134" s="9">
        <f>H152</f>
        <v>212759.60736409252</v>
      </c>
      <c r="E134" s="9">
        <f>SUM(B134:C134:D134)</f>
        <v>19176964.315697424</v>
      </c>
    </row>
    <row r="135" spans="1:14" x14ac:dyDescent="0.2">
      <c r="A135" s="8" t="s">
        <v>38</v>
      </c>
      <c r="B135" s="9">
        <f>SUM(B133:B134)</f>
        <v>30000000</v>
      </c>
      <c r="C135" s="9">
        <f>SUM(C133:C134)</f>
        <v>4979164.479166666</v>
      </c>
      <c r="D135" s="9">
        <f>SUM(D133:D134)</f>
        <v>675881.30975442147</v>
      </c>
      <c r="E135" s="9">
        <f>SUM(E133:E134)</f>
        <v>35655045.788921088</v>
      </c>
    </row>
    <row r="139" spans="1:14" x14ac:dyDescent="0.2">
      <c r="A139" s="174" t="s">
        <v>24</v>
      </c>
      <c r="B139" s="175"/>
      <c r="C139" s="175"/>
    </row>
    <row r="140" spans="1:14" ht="25.5" x14ac:dyDescent="0.2">
      <c r="A140" s="7" t="s">
        <v>23</v>
      </c>
      <c r="B140" s="7" t="s">
        <v>27</v>
      </c>
      <c r="C140" s="7" t="s">
        <v>26</v>
      </c>
      <c r="D140" s="7" t="s">
        <v>25</v>
      </c>
      <c r="E140" s="7" t="s">
        <v>21</v>
      </c>
      <c r="F140" s="7" t="s">
        <v>22</v>
      </c>
      <c r="G140" s="7" t="str">
        <f>G122</f>
        <v>Días (365)</v>
      </c>
      <c r="H140" s="7" t="str">
        <f>H122</f>
        <v>Monto (360)</v>
      </c>
      <c r="I140" s="178" t="s">
        <v>139</v>
      </c>
      <c r="J140" s="179"/>
      <c r="K140" s="179"/>
      <c r="L140" s="179"/>
      <c r="M140" s="179"/>
      <c r="N140" s="180"/>
    </row>
    <row r="141" spans="1:14" x14ac:dyDescent="0.2">
      <c r="A141" s="8" t="s">
        <v>17</v>
      </c>
      <c r="B141" s="8"/>
      <c r="C141" s="8"/>
      <c r="D141" s="8"/>
      <c r="E141" s="8"/>
      <c r="F141" s="8"/>
      <c r="G141" s="7"/>
      <c r="H141" s="8"/>
      <c r="I141" s="7" t="s">
        <v>141</v>
      </c>
      <c r="J141" s="7" t="s">
        <v>142</v>
      </c>
      <c r="K141" s="7" t="s">
        <v>135</v>
      </c>
      <c r="L141" s="35" t="s">
        <v>136</v>
      </c>
      <c r="M141" s="35" t="s">
        <v>134</v>
      </c>
      <c r="N141" s="36" t="s">
        <v>137</v>
      </c>
    </row>
    <row r="142" spans="1:14" x14ac:dyDescent="0.2">
      <c r="A142" s="10" t="s">
        <v>13</v>
      </c>
      <c r="B142" s="10" t="s">
        <v>8</v>
      </c>
      <c r="C142" s="9">
        <v>25200000</v>
      </c>
      <c r="D142" s="73">
        <f>MIN('Variables y Resumen'!$B$12,MIN('Variables y Resumen'!$B$5,$I$3)+N142 )</f>
        <v>4.2478749999999996</v>
      </c>
      <c r="E142" s="12">
        <v>44089</v>
      </c>
      <c r="F142" s="12">
        <f>B130</f>
        <v>44231</v>
      </c>
      <c r="G142" s="41">
        <f>IF('Variables y Resumen'!$B$3=360,DAYS360(E142,F142),F142-E142)</f>
        <v>142</v>
      </c>
      <c r="H142" s="9">
        <f t="shared" ref="H142:H143" si="8">C142*D142%/MID($H$16,8,3)*G142</f>
        <v>422238.77499999997</v>
      </c>
      <c r="I142" s="96">
        <f>VLOOKUP(A130,Tabla_Libor,8,0)</f>
        <v>0.27324999999999999</v>
      </c>
      <c r="J142" s="95">
        <f>VLOOKUP(B130,Tabla_Libor,8,0)</f>
        <v>0.2225</v>
      </c>
      <c r="K142" s="38">
        <f>(I142+J142)/2</f>
        <v>0.24787500000000001</v>
      </c>
      <c r="L142" s="97">
        <v>0.28200000000000003</v>
      </c>
      <c r="M142" s="51">
        <f>MIN(I142:L142)</f>
        <v>0.2225</v>
      </c>
      <c r="N142" s="37">
        <f>HLOOKUP(Selección_Libor,I141:M142,2,0)</f>
        <v>0.24787500000000001</v>
      </c>
    </row>
    <row r="143" spans="1:14" x14ac:dyDescent="0.2">
      <c r="A143" s="10" t="s">
        <v>13</v>
      </c>
      <c r="B143" s="10" t="s">
        <v>8</v>
      </c>
      <c r="C143" s="9">
        <v>4800000</v>
      </c>
      <c r="D143" s="73">
        <f>D142</f>
        <v>4.2478749999999996</v>
      </c>
      <c r="E143" s="12">
        <v>44089</v>
      </c>
      <c r="F143" s="12">
        <f>B130</f>
        <v>44231</v>
      </c>
      <c r="G143" s="41">
        <f>IF('Variables y Resumen'!$B$3=360,DAYS360(E143,F143),F143-E143)</f>
        <v>142</v>
      </c>
      <c r="H143" s="9">
        <f t="shared" si="8"/>
        <v>80426.43333333332</v>
      </c>
      <c r="I143" s="98"/>
      <c r="J143" s="98"/>
      <c r="K143" s="98"/>
    </row>
    <row r="144" spans="1:14" x14ac:dyDescent="0.2">
      <c r="A144" s="8" t="s">
        <v>1</v>
      </c>
      <c r="B144" s="8" t="s">
        <v>2</v>
      </c>
      <c r="C144" s="8" t="s">
        <v>2</v>
      </c>
      <c r="D144" s="8" t="s">
        <v>2</v>
      </c>
      <c r="E144" s="8" t="s">
        <v>2</v>
      </c>
      <c r="F144" s="8" t="s">
        <v>2</v>
      </c>
      <c r="G144" s="7" t="s">
        <v>2</v>
      </c>
      <c r="H144" s="13">
        <f>SUM(H142:H143)</f>
        <v>502665.20833333326</v>
      </c>
      <c r="I144" s="99"/>
      <c r="J144" s="99"/>
      <c r="K144" s="99"/>
    </row>
    <row r="145" spans="1:11" x14ac:dyDescent="0.2">
      <c r="D145" s="107"/>
    </row>
    <row r="146" spans="1:11" x14ac:dyDescent="0.2">
      <c r="D146" s="107"/>
    </row>
    <row r="147" spans="1:11" ht="25.5" x14ac:dyDescent="0.2">
      <c r="A147" s="7" t="s">
        <v>23</v>
      </c>
      <c r="B147" s="7" t="s">
        <v>27</v>
      </c>
      <c r="C147" s="7" t="s">
        <v>26</v>
      </c>
      <c r="D147" s="7" t="s">
        <v>25</v>
      </c>
      <c r="E147" s="7" t="s">
        <v>21</v>
      </c>
      <c r="F147" s="7" t="s">
        <v>22</v>
      </c>
      <c r="G147" s="7" t="str">
        <f>G140</f>
        <v>Días (365)</v>
      </c>
      <c r="H147" s="7" t="str">
        <f>H140</f>
        <v>Monto (360)</v>
      </c>
      <c r="I147" s="92"/>
      <c r="J147" s="92"/>
      <c r="K147" s="92"/>
    </row>
    <row r="148" spans="1:11" x14ac:dyDescent="0.2">
      <c r="A148" s="8" t="s">
        <v>20</v>
      </c>
      <c r="B148" s="8"/>
      <c r="C148" s="8"/>
      <c r="D148" s="8"/>
      <c r="E148" s="8"/>
      <c r="F148" s="8"/>
      <c r="G148" s="7"/>
      <c r="H148" s="8"/>
      <c r="I148" s="100"/>
      <c r="J148" s="100"/>
      <c r="K148" s="100"/>
    </row>
    <row r="149" spans="1:11" x14ac:dyDescent="0.2">
      <c r="A149" s="10" t="s">
        <v>29</v>
      </c>
      <c r="B149" s="10" t="s">
        <v>28</v>
      </c>
      <c r="C149" s="9">
        <f>B133</f>
        <v>11538460.5</v>
      </c>
      <c r="D149" s="73">
        <f>MIN('Variables y Resumen'!$B$7,'Variables y Resumen'!$B$12-D142)</f>
        <v>2</v>
      </c>
      <c r="E149" s="12">
        <f>E143</f>
        <v>44089</v>
      </c>
      <c r="F149" s="12">
        <f>F143</f>
        <v>44231</v>
      </c>
      <c r="G149" s="41">
        <f>IF('Variables y Resumen'!$B$3=360,DAYS360(E149,F149),F149-E149)</f>
        <v>142</v>
      </c>
      <c r="H149" s="9">
        <f t="shared" ref="H149" si="9">C149*D149%/MID($H$16,8,3)*G149</f>
        <v>91025.632833333337</v>
      </c>
      <c r="I149" s="98"/>
      <c r="J149" s="98"/>
      <c r="K149" s="98"/>
    </row>
    <row r="150" spans="1:11" x14ac:dyDescent="0.2">
      <c r="A150" s="10" t="s">
        <v>30</v>
      </c>
      <c r="B150" s="10" t="s">
        <v>28</v>
      </c>
      <c r="C150" s="9">
        <f>C133</f>
        <v>4476499.270833333</v>
      </c>
      <c r="D150" s="73">
        <f>MIN(D142+'Variables y Resumen'!$B$7,'Variables y Resumen'!$B$12)</f>
        <v>6.2478749999999996</v>
      </c>
      <c r="E150" s="12">
        <f>E143</f>
        <v>44089</v>
      </c>
      <c r="F150" s="12">
        <f>F143</f>
        <v>44231</v>
      </c>
      <c r="G150" s="41">
        <f>IF('Variables y Resumen'!$B$3=360,DAYS360(E150,F150),F150-E150)</f>
        <v>142</v>
      </c>
      <c r="H150" s="48">
        <f>IF('Variables y Resumen'!$B$11="SI",C150*D150%/MID($H$16,8,3)*G150,0)</f>
        <v>110320.61997804469</v>
      </c>
      <c r="I150" s="90"/>
      <c r="J150" s="90"/>
      <c r="K150" s="90"/>
    </row>
    <row r="151" spans="1:11" x14ac:dyDescent="0.2">
      <c r="A151" s="10" t="s">
        <v>30</v>
      </c>
      <c r="B151" s="10" t="s">
        <v>28</v>
      </c>
      <c r="C151" s="9">
        <f>D133</f>
        <v>463121.70239032898</v>
      </c>
      <c r="D151" s="73">
        <f>D150</f>
        <v>6.2478749999999996</v>
      </c>
      <c r="E151" s="12">
        <f>E143</f>
        <v>44089</v>
      </c>
      <c r="F151" s="12">
        <f>F143</f>
        <v>44231</v>
      </c>
      <c r="G151" s="41">
        <f>IF('Variables y Resumen'!$B$3=360,DAYS360(E151,F151),F151-E151)</f>
        <v>142</v>
      </c>
      <c r="H151" s="48">
        <f>IF('Variables y Resumen'!$B$11="SI",C151*D151%/MID($H$16,8,3)*G151,0)</f>
        <v>11413.354552714463</v>
      </c>
      <c r="I151" s="98"/>
      <c r="J151" s="98"/>
      <c r="K151" s="98"/>
    </row>
    <row r="152" spans="1:11" x14ac:dyDescent="0.2">
      <c r="A152" s="8" t="s">
        <v>1</v>
      </c>
      <c r="B152" s="8" t="s">
        <v>2</v>
      </c>
      <c r="C152" s="8" t="s">
        <v>2</v>
      </c>
      <c r="D152" s="8" t="s">
        <v>2</v>
      </c>
      <c r="E152" s="8" t="s">
        <v>2</v>
      </c>
      <c r="F152" s="8" t="s">
        <v>2</v>
      </c>
      <c r="G152" s="7" t="s">
        <v>2</v>
      </c>
      <c r="H152" s="13">
        <f>SUM(H149:H151)</f>
        <v>212759.60736409252</v>
      </c>
      <c r="I152" s="99"/>
      <c r="J152" s="99"/>
      <c r="K152" s="99"/>
    </row>
    <row r="155" spans="1:11" ht="15" x14ac:dyDescent="0.2">
      <c r="A155" s="34">
        <f>B130</f>
        <v>44231</v>
      </c>
      <c r="B155" s="34">
        <v>44270</v>
      </c>
      <c r="C155" s="5"/>
      <c r="D155" s="5"/>
      <c r="E155" s="5"/>
      <c r="F155" s="5"/>
      <c r="G155" s="28"/>
      <c r="H155" s="5"/>
      <c r="I155" s="5"/>
      <c r="J155" s="5"/>
      <c r="K155" s="5"/>
    </row>
    <row r="156" spans="1:11" x14ac:dyDescent="0.2">
      <c r="A156" s="176" t="s">
        <v>34</v>
      </c>
      <c r="B156" s="175"/>
      <c r="C156" s="175"/>
      <c r="D156" s="175"/>
      <c r="E156" s="175"/>
    </row>
    <row r="157" spans="1:11" ht="25.5" x14ac:dyDescent="0.2">
      <c r="A157" s="7" t="s">
        <v>23</v>
      </c>
      <c r="B157" s="7" t="s">
        <v>16</v>
      </c>
      <c r="C157" s="7" t="s">
        <v>17</v>
      </c>
      <c r="D157" s="7" t="s">
        <v>63</v>
      </c>
      <c r="E157" s="7" t="s">
        <v>1</v>
      </c>
    </row>
    <row r="158" spans="1:11" x14ac:dyDescent="0.2">
      <c r="A158" s="8" t="s">
        <v>36</v>
      </c>
      <c r="B158" s="9">
        <f>B135</f>
        <v>30000000</v>
      </c>
      <c r="C158" s="9">
        <f t="shared" ref="C158:D158" si="10">C135</f>
        <v>4979164.479166666</v>
      </c>
      <c r="D158" s="9">
        <f t="shared" si="10"/>
        <v>675881.30975442147</v>
      </c>
      <c r="E158" s="9">
        <f>SUM(B158:C158:D158)</f>
        <v>35655045.788921088</v>
      </c>
    </row>
    <row r="159" spans="1:11" x14ac:dyDescent="0.2">
      <c r="A159" s="8" t="s">
        <v>110</v>
      </c>
      <c r="B159" s="9">
        <v>0</v>
      </c>
      <c r="C159" s="9">
        <f>H169</f>
        <v>136825</v>
      </c>
      <c r="D159" s="9">
        <f>H177</f>
        <v>103044.32054496661</v>
      </c>
      <c r="E159" s="9">
        <f>SUM(B159:C159:D159)</f>
        <v>239869.32054496661</v>
      </c>
    </row>
    <row r="160" spans="1:11" x14ac:dyDescent="0.2">
      <c r="A160" s="8" t="s">
        <v>38</v>
      </c>
      <c r="B160" s="9">
        <f>SUM(B158:B159)</f>
        <v>30000000</v>
      </c>
      <c r="C160" s="9">
        <f>SUM(C158:C159)</f>
        <v>5115989.479166666</v>
      </c>
      <c r="D160" s="9">
        <f>SUM(D158:D159)</f>
        <v>778925.63029938808</v>
      </c>
      <c r="E160" s="9">
        <f>SUM(E158:E159)</f>
        <v>35894915.109466054</v>
      </c>
    </row>
    <row r="164" spans="1:14" x14ac:dyDescent="0.2">
      <c r="A164" s="174" t="s">
        <v>24</v>
      </c>
      <c r="B164" s="175"/>
      <c r="C164" s="175"/>
    </row>
    <row r="165" spans="1:14" ht="25.5" x14ac:dyDescent="0.2">
      <c r="A165" s="7" t="s">
        <v>23</v>
      </c>
      <c r="B165" s="7" t="s">
        <v>27</v>
      </c>
      <c r="C165" s="7" t="s">
        <v>26</v>
      </c>
      <c r="D165" s="7" t="s">
        <v>25</v>
      </c>
      <c r="E165" s="7" t="s">
        <v>21</v>
      </c>
      <c r="F165" s="7" t="s">
        <v>22</v>
      </c>
      <c r="G165" s="7" t="str">
        <f>G147</f>
        <v>Días (365)</v>
      </c>
      <c r="H165" s="7" t="str">
        <f>H147</f>
        <v>Monto (360)</v>
      </c>
      <c r="I165" s="178" t="s">
        <v>139</v>
      </c>
      <c r="J165" s="179"/>
      <c r="K165" s="179"/>
      <c r="L165" s="179"/>
      <c r="M165" s="179"/>
      <c r="N165" s="180"/>
    </row>
    <row r="166" spans="1:14" x14ac:dyDescent="0.2">
      <c r="A166" s="8" t="s">
        <v>17</v>
      </c>
      <c r="B166" s="8"/>
      <c r="C166" s="8"/>
      <c r="D166" s="8"/>
      <c r="E166" s="8"/>
      <c r="F166" s="8"/>
      <c r="G166" s="7"/>
      <c r="H166" s="8"/>
      <c r="I166" s="7" t="s">
        <v>141</v>
      </c>
      <c r="J166" s="7" t="s">
        <v>142</v>
      </c>
      <c r="K166" s="7" t="s">
        <v>135</v>
      </c>
      <c r="L166" s="35" t="s">
        <v>136</v>
      </c>
      <c r="M166" s="35" t="s">
        <v>134</v>
      </c>
      <c r="N166" s="36" t="s">
        <v>137</v>
      </c>
    </row>
    <row r="167" spans="1:14" x14ac:dyDescent="0.2">
      <c r="A167" s="10" t="s">
        <v>13</v>
      </c>
      <c r="B167" s="10" t="s">
        <v>8</v>
      </c>
      <c r="C167" s="9">
        <v>25200000</v>
      </c>
      <c r="D167" s="73">
        <f>MIN('Variables y Resumen'!$B$12,MIN('Variables y Resumen'!$B$5,$I$3)+N167 )</f>
        <v>4.21</v>
      </c>
      <c r="E167" s="12">
        <f>A155</f>
        <v>44231</v>
      </c>
      <c r="F167" s="12">
        <f>B155</f>
        <v>44270</v>
      </c>
      <c r="G167" s="41">
        <f>IF('Variables y Resumen'!$B$3=360,DAYS360(E167,F167),F167-E167)</f>
        <v>39</v>
      </c>
      <c r="H167" s="9">
        <f t="shared" ref="H167:H168" si="11">C167*D167%/MID($H$16,8,3)*G167</f>
        <v>114933</v>
      </c>
      <c r="I167" s="96">
        <f>VLOOKUP(A155,Tabla_Libor,8,0)</f>
        <v>0.2225</v>
      </c>
      <c r="J167" s="95">
        <f>VLOOKUP(B155,Tabla_Libor,8,0)</f>
        <v>0.19750000000000001</v>
      </c>
      <c r="K167" s="38">
        <f>(I167+J167)/2</f>
        <v>0.21000000000000002</v>
      </c>
      <c r="L167" s="29">
        <v>0.28200000000000003</v>
      </c>
      <c r="M167" s="51">
        <f>MIN(I167:L167)</f>
        <v>0.19750000000000001</v>
      </c>
      <c r="N167" s="37">
        <f>HLOOKUP(Selección_Libor,I166:M167,2,0)</f>
        <v>0.21000000000000002</v>
      </c>
    </row>
    <row r="168" spans="1:14" x14ac:dyDescent="0.2">
      <c r="A168" s="10" t="s">
        <v>13</v>
      </c>
      <c r="B168" s="10" t="s">
        <v>8</v>
      </c>
      <c r="C168" s="9">
        <v>4800000</v>
      </c>
      <c r="D168" s="73">
        <f>D167</f>
        <v>4.21</v>
      </c>
      <c r="E168" s="12">
        <f>E167</f>
        <v>44231</v>
      </c>
      <c r="F168" s="12">
        <f>F167</f>
        <v>44270</v>
      </c>
      <c r="G168" s="41">
        <f>IF('Variables y Resumen'!$B$3=360,DAYS360(E168,F168),F168-E168)</f>
        <v>39</v>
      </c>
      <c r="H168" s="9">
        <f t="shared" si="11"/>
        <v>21892</v>
      </c>
      <c r="I168" s="98"/>
      <c r="J168" s="98"/>
      <c r="K168" s="98"/>
    </row>
    <row r="169" spans="1:14" x14ac:dyDescent="0.2">
      <c r="A169" s="8" t="s">
        <v>1</v>
      </c>
      <c r="B169" s="8" t="s">
        <v>2</v>
      </c>
      <c r="C169" s="8" t="s">
        <v>2</v>
      </c>
      <c r="D169" s="8" t="s">
        <v>2</v>
      </c>
      <c r="E169" s="8" t="s">
        <v>2</v>
      </c>
      <c r="F169" s="8" t="s">
        <v>2</v>
      </c>
      <c r="G169" s="7" t="s">
        <v>2</v>
      </c>
      <c r="H169" s="13">
        <f>SUM(H167:H168)</f>
        <v>136825</v>
      </c>
      <c r="I169" s="99"/>
      <c r="J169" s="99"/>
      <c r="K169" s="99"/>
    </row>
    <row r="170" spans="1:14" x14ac:dyDescent="0.2">
      <c r="D170" s="107"/>
    </row>
    <row r="171" spans="1:14" x14ac:dyDescent="0.2">
      <c r="D171" s="107"/>
    </row>
    <row r="172" spans="1:14" ht="25.5" x14ac:dyDescent="0.2">
      <c r="A172" s="7" t="s">
        <v>23</v>
      </c>
      <c r="B172" s="7" t="s">
        <v>27</v>
      </c>
      <c r="C172" s="7" t="s">
        <v>26</v>
      </c>
      <c r="D172" s="7" t="s">
        <v>25</v>
      </c>
      <c r="E172" s="7" t="s">
        <v>21</v>
      </c>
      <c r="F172" s="7" t="s">
        <v>22</v>
      </c>
      <c r="G172" s="7" t="str">
        <f>G165</f>
        <v>Días (365)</v>
      </c>
      <c r="H172" s="7" t="str">
        <f>H165</f>
        <v>Monto (360)</v>
      </c>
      <c r="I172" s="92"/>
      <c r="J172" s="92"/>
      <c r="K172" s="92"/>
    </row>
    <row r="173" spans="1:14" x14ac:dyDescent="0.2">
      <c r="A173" s="8" t="s">
        <v>20</v>
      </c>
      <c r="B173" s="8"/>
      <c r="C173" s="8"/>
      <c r="D173" s="8"/>
      <c r="E173" s="8"/>
      <c r="F173" s="8"/>
      <c r="G173" s="7"/>
      <c r="H173" s="8"/>
      <c r="I173" s="100"/>
      <c r="J173" s="100"/>
      <c r="K173" s="100"/>
    </row>
    <row r="174" spans="1:14" x14ac:dyDescent="0.2">
      <c r="A174" s="10" t="s">
        <v>29</v>
      </c>
      <c r="B174" s="10" t="s">
        <v>28</v>
      </c>
      <c r="C174" s="9">
        <f>B158</f>
        <v>30000000</v>
      </c>
      <c r="D174" s="73">
        <f>MIN('Variables y Resumen'!$B$7,'Variables y Resumen'!$B$12-D167)</f>
        <v>2</v>
      </c>
      <c r="E174" s="12">
        <f>E167</f>
        <v>44231</v>
      </c>
      <c r="F174" s="12">
        <f>F167</f>
        <v>44270</v>
      </c>
      <c r="G174" s="41">
        <f>IF('Variables y Resumen'!$B$3=360,DAYS360(E174,F174),F174-E174)</f>
        <v>39</v>
      </c>
      <c r="H174" s="9">
        <f t="shared" ref="H174:H176" si="12">C174*D174%/MID($H$16,8,3)*G174</f>
        <v>65000</v>
      </c>
      <c r="I174" s="98"/>
      <c r="J174" s="98"/>
      <c r="K174" s="98"/>
    </row>
    <row r="175" spans="1:14" x14ac:dyDescent="0.2">
      <c r="A175" s="10" t="s">
        <v>30</v>
      </c>
      <c r="B175" s="10" t="s">
        <v>28</v>
      </c>
      <c r="C175" s="9">
        <f>C158</f>
        <v>4979164.479166666</v>
      </c>
      <c r="D175" s="73">
        <f>MIN(D167+'Variables y Resumen'!$B$7,'Variables y Resumen'!$B$12)</f>
        <v>6.21</v>
      </c>
      <c r="E175" s="12">
        <f>E167</f>
        <v>44231</v>
      </c>
      <c r="F175" s="12">
        <f>F168</f>
        <v>44270</v>
      </c>
      <c r="G175" s="41">
        <f>IF('Variables y Resumen'!$B$3=360,DAYS360(E175,F175),F175-E175)</f>
        <v>39</v>
      </c>
      <c r="H175" s="48">
        <f>IF('Variables y Resumen'!$B$11="SI",C175*D175%/MID($H$16,8,3)*G175,0)</f>
        <v>33497.329033593749</v>
      </c>
      <c r="I175" s="90"/>
      <c r="J175" s="90"/>
      <c r="K175" s="90"/>
    </row>
    <row r="176" spans="1:14" x14ac:dyDescent="0.2">
      <c r="A176" s="10" t="s">
        <v>30</v>
      </c>
      <c r="B176" s="10" t="s">
        <v>28</v>
      </c>
      <c r="C176" s="9">
        <f>D158</f>
        <v>675881.30975442147</v>
      </c>
      <c r="D176" s="73">
        <f>D175</f>
        <v>6.21</v>
      </c>
      <c r="E176" s="12">
        <f>E167</f>
        <v>44231</v>
      </c>
      <c r="F176" s="12">
        <f>F168</f>
        <v>44270</v>
      </c>
      <c r="G176" s="41">
        <f>IF('Variables y Resumen'!$B$3=360,DAYS360(E176,F176),F176-E176)</f>
        <v>39</v>
      </c>
      <c r="H176" s="9">
        <f t="shared" si="12"/>
        <v>4546.9915113728703</v>
      </c>
      <c r="I176" s="98"/>
      <c r="J176" s="98"/>
      <c r="K176" s="98"/>
    </row>
    <row r="177" spans="1:11" x14ac:dyDescent="0.2">
      <c r="A177" s="8" t="s">
        <v>1</v>
      </c>
      <c r="B177" s="8" t="s">
        <v>2</v>
      </c>
      <c r="C177" s="8" t="s">
        <v>2</v>
      </c>
      <c r="D177" s="8" t="s">
        <v>2</v>
      </c>
      <c r="E177" s="8" t="s">
        <v>2</v>
      </c>
      <c r="F177" s="8" t="s">
        <v>2</v>
      </c>
      <c r="G177" s="7" t="s">
        <v>2</v>
      </c>
      <c r="H177" s="13">
        <f>SUM(H174:H176)</f>
        <v>103044.32054496661</v>
      </c>
      <c r="I177" s="99"/>
      <c r="J177" s="99"/>
      <c r="K177" s="99"/>
    </row>
    <row r="183" spans="1:11" ht="15" x14ac:dyDescent="0.2">
      <c r="A183" s="34">
        <f>B155</f>
        <v>44270</v>
      </c>
      <c r="B183" s="34">
        <f>MIN(A183+184,'Variables y Resumen'!$B$8)</f>
        <v>44441</v>
      </c>
      <c r="C183" s="5"/>
      <c r="D183" s="5"/>
      <c r="E183" s="5"/>
      <c r="F183" s="5"/>
      <c r="G183" s="28"/>
      <c r="H183" s="5"/>
      <c r="I183" s="5"/>
      <c r="J183" s="5"/>
      <c r="K183" s="5"/>
    </row>
    <row r="184" spans="1:11" x14ac:dyDescent="0.2">
      <c r="A184" s="176" t="s">
        <v>34</v>
      </c>
      <c r="B184" s="175"/>
      <c r="C184" s="175"/>
      <c r="D184" s="175"/>
      <c r="E184" s="175"/>
    </row>
    <row r="185" spans="1:11" ht="25.5" x14ac:dyDescent="0.2">
      <c r="A185" s="7" t="s">
        <v>23</v>
      </c>
      <c r="B185" s="7" t="s">
        <v>16</v>
      </c>
      <c r="C185" s="7" t="s">
        <v>17</v>
      </c>
      <c r="D185" s="7" t="s">
        <v>63</v>
      </c>
      <c r="E185" s="7" t="s">
        <v>1</v>
      </c>
    </row>
    <row r="186" spans="1:11" x14ac:dyDescent="0.2">
      <c r="A186" s="8" t="s">
        <v>36</v>
      </c>
      <c r="B186" s="9">
        <f>B160</f>
        <v>30000000</v>
      </c>
      <c r="C186" s="9">
        <f>C160</f>
        <v>5115989.479166666</v>
      </c>
      <c r="D186" s="9">
        <f>D160</f>
        <v>778925.63029938808</v>
      </c>
      <c r="E186" s="9">
        <f>SUM(B186:C186:D186)</f>
        <v>35894915.109466054</v>
      </c>
    </row>
    <row r="187" spans="1:11" x14ac:dyDescent="0.2">
      <c r="A187" s="8" t="s">
        <v>110</v>
      </c>
      <c r="B187" s="9">
        <v>0</v>
      </c>
      <c r="C187" s="9">
        <f>H197</f>
        <v>594590.51249999995</v>
      </c>
      <c r="D187" s="9">
        <f>H205</f>
        <v>457837.04674264137</v>
      </c>
      <c r="E187" s="9">
        <f>SUM(B187:C187:D187)</f>
        <v>1052427.5592426413</v>
      </c>
    </row>
    <row r="188" spans="1:11" x14ac:dyDescent="0.2">
      <c r="A188" s="8" t="s">
        <v>38</v>
      </c>
      <c r="B188" s="9">
        <f>SUM(B186:B187)</f>
        <v>30000000</v>
      </c>
      <c r="C188" s="9">
        <f>SUM(C186:C187)</f>
        <v>5710579.9916666662</v>
      </c>
      <c r="D188" s="9">
        <f>SUM(D186:D187)</f>
        <v>1236762.6770420293</v>
      </c>
      <c r="E188" s="9">
        <f>SUM(E186:E187)</f>
        <v>36947342.668708697</v>
      </c>
    </row>
    <row r="192" spans="1:11" x14ac:dyDescent="0.2">
      <c r="A192" s="174" t="s">
        <v>24</v>
      </c>
      <c r="B192" s="175"/>
      <c r="C192" s="175"/>
    </row>
    <row r="193" spans="1:14" ht="25.5" x14ac:dyDescent="0.2">
      <c r="A193" s="7" t="s">
        <v>23</v>
      </c>
      <c r="B193" s="7" t="s">
        <v>27</v>
      </c>
      <c r="C193" s="7" t="s">
        <v>26</v>
      </c>
      <c r="D193" s="7" t="s">
        <v>25</v>
      </c>
      <c r="E193" s="7" t="s">
        <v>21</v>
      </c>
      <c r="F193" s="7" t="s">
        <v>22</v>
      </c>
      <c r="G193" s="7" t="str">
        <f>G172</f>
        <v>Días (365)</v>
      </c>
      <c r="H193" s="7" t="str">
        <f>H172</f>
        <v>Monto (360)</v>
      </c>
      <c r="I193" s="178" t="s">
        <v>139</v>
      </c>
      <c r="J193" s="179"/>
      <c r="K193" s="179"/>
      <c r="L193" s="179"/>
      <c r="M193" s="179"/>
      <c r="N193" s="180"/>
    </row>
    <row r="194" spans="1:14" x14ac:dyDescent="0.2">
      <c r="A194" s="8" t="s">
        <v>17</v>
      </c>
      <c r="B194" s="8"/>
      <c r="C194" s="8"/>
      <c r="D194" s="8"/>
      <c r="E194" s="8"/>
      <c r="F194" s="8"/>
      <c r="G194" s="7"/>
      <c r="H194" s="8"/>
      <c r="I194" s="7" t="s">
        <v>141</v>
      </c>
      <c r="J194" s="7" t="s">
        <v>142</v>
      </c>
      <c r="K194" s="7" t="s">
        <v>135</v>
      </c>
      <c r="L194" s="35" t="s">
        <v>136</v>
      </c>
      <c r="M194" s="35" t="s">
        <v>134</v>
      </c>
      <c r="N194" s="36" t="s">
        <v>137</v>
      </c>
    </row>
    <row r="195" spans="1:14" x14ac:dyDescent="0.2">
      <c r="A195" s="10" t="s">
        <v>13</v>
      </c>
      <c r="B195" s="10" t="s">
        <v>8</v>
      </c>
      <c r="C195" s="9">
        <v>25200000</v>
      </c>
      <c r="D195" s="73">
        <f>MIN('Variables y Resumen'!$B$12,MIN('Variables y Resumen'!$B$5,$I$3)+N195 )</f>
        <v>4.1725649999999996</v>
      </c>
      <c r="E195" s="12">
        <f>A183</f>
        <v>44270</v>
      </c>
      <c r="F195" s="12">
        <f>B183</f>
        <v>44441</v>
      </c>
      <c r="G195" s="41">
        <f>IF('Variables y Resumen'!$B$3=360,DAYS360(E195,F195),F195-E195)</f>
        <v>171</v>
      </c>
      <c r="H195" s="9">
        <f t="shared" ref="H195:H196" si="13">C195*D195%/MID($H$16,8,3)*G195</f>
        <v>499456.03049999994</v>
      </c>
      <c r="I195" s="96">
        <f>VLOOKUP(A183,Tabla_Libor,8,0)</f>
        <v>0.19750000000000001</v>
      </c>
      <c r="J195" s="95">
        <f>VLOOKUP(B183,Tabla_Libor,8,0)</f>
        <v>0.14763000000000001</v>
      </c>
      <c r="K195" s="38">
        <f>(I195+J195)/2</f>
        <v>0.17256500000000002</v>
      </c>
      <c r="L195" s="97">
        <v>0.19299999999999962</v>
      </c>
      <c r="M195" s="51">
        <f>MIN(I195:L195)</f>
        <v>0.14763000000000001</v>
      </c>
      <c r="N195" s="37">
        <f>HLOOKUP(Selección_Libor,I194:M195,2,0)</f>
        <v>0.17256500000000002</v>
      </c>
    </row>
    <row r="196" spans="1:14" x14ac:dyDescent="0.2">
      <c r="A196" s="10" t="s">
        <v>13</v>
      </c>
      <c r="B196" s="10" t="s">
        <v>8</v>
      </c>
      <c r="C196" s="9">
        <v>4800000</v>
      </c>
      <c r="D196" s="73">
        <f>D195</f>
        <v>4.1725649999999996</v>
      </c>
      <c r="E196" s="12">
        <f>E195</f>
        <v>44270</v>
      </c>
      <c r="F196" s="12">
        <f>F195</f>
        <v>44441</v>
      </c>
      <c r="G196" s="41">
        <f>IF('Variables y Resumen'!$B$3=360,DAYS360(E196,F196),F196-E196)</f>
        <v>171</v>
      </c>
      <c r="H196" s="9">
        <f t="shared" si="13"/>
        <v>95134.482000000004</v>
      </c>
      <c r="I196" s="98"/>
      <c r="J196" s="98"/>
      <c r="K196" s="98"/>
    </row>
    <row r="197" spans="1:14" x14ac:dyDescent="0.2">
      <c r="A197" s="8" t="s">
        <v>1</v>
      </c>
      <c r="B197" s="8" t="s">
        <v>2</v>
      </c>
      <c r="C197" s="8" t="s">
        <v>2</v>
      </c>
      <c r="D197" s="8" t="s">
        <v>2</v>
      </c>
      <c r="E197" s="8" t="s">
        <v>2</v>
      </c>
      <c r="F197" s="8" t="s">
        <v>2</v>
      </c>
      <c r="G197" s="7" t="s">
        <v>2</v>
      </c>
      <c r="H197" s="13">
        <f>SUM(H195:H196)</f>
        <v>594590.51249999995</v>
      </c>
      <c r="I197" s="99"/>
      <c r="J197" s="99"/>
      <c r="K197" s="99"/>
    </row>
    <row r="198" spans="1:14" x14ac:dyDescent="0.2">
      <c r="D198" s="107"/>
    </row>
    <row r="199" spans="1:14" x14ac:dyDescent="0.2">
      <c r="D199" s="107"/>
    </row>
    <row r="200" spans="1:14" ht="25.5" x14ac:dyDescent="0.2">
      <c r="A200" s="7" t="s">
        <v>23</v>
      </c>
      <c r="B200" s="7" t="s">
        <v>27</v>
      </c>
      <c r="C200" s="7" t="s">
        <v>26</v>
      </c>
      <c r="D200" s="7" t="s">
        <v>25</v>
      </c>
      <c r="E200" s="7" t="s">
        <v>21</v>
      </c>
      <c r="F200" s="7" t="s">
        <v>22</v>
      </c>
      <c r="G200" s="7" t="str">
        <f>G193</f>
        <v>Días (365)</v>
      </c>
      <c r="H200" s="7" t="str">
        <f>H193</f>
        <v>Monto (360)</v>
      </c>
      <c r="I200" s="92"/>
      <c r="J200" s="92"/>
      <c r="K200" s="92"/>
    </row>
    <row r="201" spans="1:14" x14ac:dyDescent="0.2">
      <c r="A201" s="8" t="s">
        <v>20</v>
      </c>
      <c r="B201" s="8"/>
      <c r="C201" s="8"/>
      <c r="D201" s="8"/>
      <c r="E201" s="8"/>
      <c r="F201" s="8"/>
      <c r="G201" s="7"/>
      <c r="H201" s="8"/>
      <c r="I201" s="100"/>
      <c r="J201" s="100"/>
      <c r="K201" s="100"/>
    </row>
    <row r="202" spans="1:14" x14ac:dyDescent="0.2">
      <c r="A202" s="10" t="s">
        <v>29</v>
      </c>
      <c r="B202" s="10" t="s">
        <v>28</v>
      </c>
      <c r="C202" s="9">
        <f>B186</f>
        <v>30000000</v>
      </c>
      <c r="D202" s="73">
        <f>MIN('Variables y Resumen'!$B$7,'Variables y Resumen'!$B$12-D195)</f>
        <v>2</v>
      </c>
      <c r="E202" s="12">
        <f>E195</f>
        <v>44270</v>
      </c>
      <c r="F202" s="12">
        <f>F195</f>
        <v>44441</v>
      </c>
      <c r="G202" s="41">
        <f>IF('Variables y Resumen'!$B$3=360,DAYS360(E202,F202),F202-E202)</f>
        <v>171</v>
      </c>
      <c r="H202" s="9">
        <f t="shared" ref="H202" si="14">C202*D202%/MID($H$16,8,3)*G202</f>
        <v>285000</v>
      </c>
      <c r="I202" s="98"/>
      <c r="J202" s="98"/>
      <c r="K202" s="98"/>
    </row>
    <row r="203" spans="1:14" x14ac:dyDescent="0.2">
      <c r="A203" s="10" t="s">
        <v>30</v>
      </c>
      <c r="B203" s="10" t="s">
        <v>28</v>
      </c>
      <c r="C203" s="9">
        <f>C186</f>
        <v>5115989.479166666</v>
      </c>
      <c r="D203" s="73">
        <f>MIN(D195+'Variables y Resumen'!$B$7,'Variables y Resumen'!$B$12)</f>
        <v>6.1725649999999996</v>
      </c>
      <c r="E203" s="12">
        <f>E195</f>
        <v>44270</v>
      </c>
      <c r="F203" s="12">
        <f>F196</f>
        <v>44441</v>
      </c>
      <c r="G203" s="41">
        <f>IF('Variables y Resumen'!$B$3=360,DAYS360(E203,F203),F203-E203)</f>
        <v>171</v>
      </c>
      <c r="H203" s="48">
        <f>IF('Variables y Resumen'!$B$11="SI",C203*D203%/MID($H$16,8,3)*G203,0)</f>
        <v>149999.19359749387</v>
      </c>
      <c r="I203" s="90"/>
      <c r="J203" s="90"/>
      <c r="K203" s="90"/>
    </row>
    <row r="204" spans="1:14" x14ac:dyDescent="0.2">
      <c r="A204" s="10" t="s">
        <v>30</v>
      </c>
      <c r="B204" s="10" t="s">
        <v>28</v>
      </c>
      <c r="C204" s="9">
        <f>D186</f>
        <v>778925.63029938808</v>
      </c>
      <c r="D204" s="73">
        <f>D203</f>
        <v>6.1725649999999996</v>
      </c>
      <c r="E204" s="12">
        <f>E195</f>
        <v>44270</v>
      </c>
      <c r="F204" s="12">
        <f>F196</f>
        <v>44441</v>
      </c>
      <c r="G204" s="41">
        <f>IF('Variables y Resumen'!$B$3=360,DAYS360(E204,F204),F204-E204)</f>
        <v>171</v>
      </c>
      <c r="H204" s="48">
        <f>IF('Variables y Resumen'!$B$11="SI",C204*D204%/MID($H$16,8,3)*G204,0)</f>
        <v>22837.853145147474</v>
      </c>
      <c r="I204" s="98"/>
      <c r="J204" s="98"/>
      <c r="K204" s="98"/>
    </row>
    <row r="205" spans="1:14" x14ac:dyDescent="0.2">
      <c r="A205" s="8" t="s">
        <v>1</v>
      </c>
      <c r="B205" s="8" t="s">
        <v>2</v>
      </c>
      <c r="C205" s="8" t="s">
        <v>2</v>
      </c>
      <c r="D205" s="8" t="s">
        <v>2</v>
      </c>
      <c r="E205" s="8" t="s">
        <v>2</v>
      </c>
      <c r="F205" s="8" t="s">
        <v>2</v>
      </c>
      <c r="G205" s="7" t="s">
        <v>2</v>
      </c>
      <c r="H205" s="13">
        <f>SUM(H202:H204)</f>
        <v>457837.04674264137</v>
      </c>
      <c r="I205" s="99"/>
      <c r="J205" s="99"/>
      <c r="K205" s="99"/>
    </row>
    <row r="207" spans="1:14" ht="15" x14ac:dyDescent="0.2">
      <c r="A207" s="34">
        <f>B183</f>
        <v>44441</v>
      </c>
      <c r="B207" s="70">
        <f>'Variables y Resumen'!$B$8</f>
        <v>44441</v>
      </c>
      <c r="C207" s="5"/>
      <c r="D207" s="5"/>
      <c r="E207" s="5"/>
      <c r="F207" s="5"/>
      <c r="G207" s="28"/>
      <c r="H207" s="5"/>
      <c r="I207" s="5"/>
      <c r="J207" s="5"/>
      <c r="K207" s="5"/>
    </row>
    <row r="208" spans="1:14" x14ac:dyDescent="0.2">
      <c r="A208" s="176" t="s">
        <v>34</v>
      </c>
      <c r="B208" s="175"/>
      <c r="C208" s="175"/>
      <c r="D208" s="175"/>
      <c r="E208" s="175"/>
    </row>
    <row r="209" spans="1:14" ht="25.5" x14ac:dyDescent="0.2">
      <c r="A209" s="7" t="s">
        <v>23</v>
      </c>
      <c r="B209" s="7" t="s">
        <v>16</v>
      </c>
      <c r="C209" s="7" t="s">
        <v>17</v>
      </c>
      <c r="D209" s="7" t="s">
        <v>63</v>
      </c>
      <c r="E209" s="7" t="s">
        <v>1</v>
      </c>
    </row>
    <row r="210" spans="1:14" x14ac:dyDescent="0.2">
      <c r="A210" s="8" t="s">
        <v>36</v>
      </c>
      <c r="B210" s="9">
        <f>B188</f>
        <v>30000000</v>
      </c>
      <c r="C210" s="9">
        <f>C188</f>
        <v>5710579.9916666662</v>
      </c>
      <c r="D210" s="9">
        <f>D188</f>
        <v>1236762.6770420293</v>
      </c>
      <c r="E210" s="9">
        <f>SUM(B210:C210:D210)</f>
        <v>36947342.668708697</v>
      </c>
    </row>
    <row r="211" spans="1:14" x14ac:dyDescent="0.2">
      <c r="A211" s="8" t="s">
        <v>110</v>
      </c>
      <c r="B211" s="9">
        <v>0</v>
      </c>
      <c r="C211" s="9">
        <f>H221</f>
        <v>0</v>
      </c>
      <c r="D211" s="9">
        <f>H229</f>
        <v>0</v>
      </c>
      <c r="E211" s="9">
        <f>SUM(B211:C211:D211)</f>
        <v>0</v>
      </c>
    </row>
    <row r="212" spans="1:14" x14ac:dyDescent="0.2">
      <c r="A212" s="8" t="s">
        <v>38</v>
      </c>
      <c r="B212" s="9">
        <f>SUM(B210:B211)</f>
        <v>30000000</v>
      </c>
      <c r="C212" s="9">
        <f>SUM(C210:C211)</f>
        <v>5710579.9916666662</v>
      </c>
      <c r="D212" s="9">
        <f>SUM(D210:D211)</f>
        <v>1236762.6770420293</v>
      </c>
      <c r="E212" s="9">
        <f>SUM(E210:E211)</f>
        <v>36947342.668708697</v>
      </c>
    </row>
    <row r="216" spans="1:14" x14ac:dyDescent="0.2">
      <c r="A216" s="174" t="s">
        <v>24</v>
      </c>
      <c r="B216" s="175"/>
      <c r="C216" s="175"/>
    </row>
    <row r="217" spans="1:14" ht="25.5" x14ac:dyDescent="0.2">
      <c r="A217" s="7" t="s">
        <v>23</v>
      </c>
      <c r="B217" s="7" t="s">
        <v>27</v>
      </c>
      <c r="C217" s="7" t="s">
        <v>26</v>
      </c>
      <c r="D217" s="7" t="s">
        <v>25</v>
      </c>
      <c r="E217" s="7" t="s">
        <v>21</v>
      </c>
      <c r="F217" s="7" t="s">
        <v>22</v>
      </c>
      <c r="G217" s="7" t="str">
        <f>G200</f>
        <v>Días (365)</v>
      </c>
      <c r="H217" s="7" t="str">
        <f>H200</f>
        <v>Monto (360)</v>
      </c>
      <c r="I217" s="178" t="s">
        <v>139</v>
      </c>
      <c r="J217" s="179"/>
      <c r="K217" s="179"/>
      <c r="L217" s="179"/>
      <c r="M217" s="179"/>
      <c r="N217" s="180"/>
    </row>
    <row r="218" spans="1:14" x14ac:dyDescent="0.2">
      <c r="A218" s="8" t="s">
        <v>17</v>
      </c>
      <c r="B218" s="8"/>
      <c r="C218" s="8"/>
      <c r="D218" s="8"/>
      <c r="E218" s="8"/>
      <c r="F218" s="8"/>
      <c r="G218" s="7"/>
      <c r="H218" s="8"/>
      <c r="I218" s="7" t="s">
        <v>141</v>
      </c>
      <c r="J218" s="7" t="s">
        <v>142</v>
      </c>
      <c r="K218" s="7" t="s">
        <v>135</v>
      </c>
      <c r="L218" s="35" t="s">
        <v>136</v>
      </c>
      <c r="M218" s="35" t="s">
        <v>134</v>
      </c>
      <c r="N218" s="36" t="s">
        <v>137</v>
      </c>
    </row>
    <row r="219" spans="1:14" x14ac:dyDescent="0.2">
      <c r="A219" s="10" t="s">
        <v>13</v>
      </c>
      <c r="B219" s="10" t="s">
        <v>8</v>
      </c>
      <c r="C219" s="9">
        <v>25200000</v>
      </c>
      <c r="D219" s="73">
        <f>MIN('Variables y Resumen'!$B$12,MIN('Variables y Resumen'!$B$5,$I$3)+N219 )</f>
        <v>4.1476300000000004</v>
      </c>
      <c r="E219" s="12">
        <f>A207</f>
        <v>44441</v>
      </c>
      <c r="F219" s="12">
        <f>B207</f>
        <v>44441</v>
      </c>
      <c r="G219" s="41">
        <f>IF('Variables y Resumen'!$B$3=360,DAYS360(E219,F219),F219-E219)</f>
        <v>0</v>
      </c>
      <c r="H219" s="9">
        <f t="shared" ref="H219:H220" si="15">C219*D219%/MID($H$16,8,3)*G219</f>
        <v>0</v>
      </c>
      <c r="I219" s="96">
        <f>VLOOKUP(A207,Tabla_Libor,8,0)</f>
        <v>0.14763000000000001</v>
      </c>
      <c r="J219" s="95">
        <f>VLOOKUP(B207,Tabla_Libor,8,0)</f>
        <v>0.14763000000000001</v>
      </c>
      <c r="K219" s="38">
        <f>(I219+J219)/2</f>
        <v>0.14763000000000001</v>
      </c>
      <c r="L219" s="29">
        <v>0.14900000000000002</v>
      </c>
      <c r="M219" s="51">
        <f>MIN(I219:L219)</f>
        <v>0.14763000000000001</v>
      </c>
      <c r="N219" s="37">
        <f>HLOOKUP(Selección_Libor,I218:M219,2,0)</f>
        <v>0.14763000000000001</v>
      </c>
    </row>
    <row r="220" spans="1:14" x14ac:dyDescent="0.2">
      <c r="A220" s="10" t="s">
        <v>13</v>
      </c>
      <c r="B220" s="10" t="s">
        <v>8</v>
      </c>
      <c r="C220" s="9">
        <v>4800000</v>
      </c>
      <c r="D220" s="73">
        <f>D219</f>
        <v>4.1476300000000004</v>
      </c>
      <c r="E220" s="12">
        <f>E219</f>
        <v>44441</v>
      </c>
      <c r="F220" s="12">
        <f>F219</f>
        <v>44441</v>
      </c>
      <c r="G220" s="41">
        <f>IF('Variables y Resumen'!$B$3=360,DAYS360(E220,F220),F220-E220)</f>
        <v>0</v>
      </c>
      <c r="H220" s="9">
        <f t="shared" si="15"/>
        <v>0</v>
      </c>
      <c r="I220" s="98"/>
      <c r="J220" s="98"/>
      <c r="K220" s="98"/>
    </row>
    <row r="221" spans="1:14" x14ac:dyDescent="0.2">
      <c r="A221" s="8" t="s">
        <v>1</v>
      </c>
      <c r="B221" s="8" t="s">
        <v>2</v>
      </c>
      <c r="C221" s="8" t="s">
        <v>2</v>
      </c>
      <c r="D221" s="8" t="s">
        <v>2</v>
      </c>
      <c r="E221" s="8" t="s">
        <v>2</v>
      </c>
      <c r="F221" s="8" t="s">
        <v>2</v>
      </c>
      <c r="G221" s="7" t="s">
        <v>2</v>
      </c>
      <c r="H221" s="13">
        <f>SUM(H219:H220)</f>
        <v>0</v>
      </c>
      <c r="I221" s="99"/>
      <c r="J221" s="99"/>
      <c r="K221" s="99"/>
    </row>
    <row r="222" spans="1:14" x14ac:dyDescent="0.2">
      <c r="D222" s="107"/>
    </row>
    <row r="223" spans="1:14" x14ac:dyDescent="0.2">
      <c r="D223" s="107"/>
    </row>
    <row r="224" spans="1:14" ht="25.5" x14ac:dyDescent="0.2">
      <c r="A224" s="7" t="s">
        <v>23</v>
      </c>
      <c r="B224" s="7" t="s">
        <v>27</v>
      </c>
      <c r="C224" s="7" t="s">
        <v>26</v>
      </c>
      <c r="D224" s="7" t="s">
        <v>25</v>
      </c>
      <c r="E224" s="7" t="s">
        <v>21</v>
      </c>
      <c r="F224" s="7" t="s">
        <v>22</v>
      </c>
      <c r="G224" s="7" t="str">
        <f>G217</f>
        <v>Días (365)</v>
      </c>
      <c r="H224" s="7" t="str">
        <f>H217</f>
        <v>Monto (360)</v>
      </c>
      <c r="I224" s="92"/>
      <c r="J224" s="92"/>
      <c r="K224" s="92"/>
    </row>
    <row r="225" spans="1:11" x14ac:dyDescent="0.2">
      <c r="A225" s="8" t="s">
        <v>20</v>
      </c>
      <c r="B225" s="8"/>
      <c r="C225" s="8"/>
      <c r="D225" s="8"/>
      <c r="E225" s="8"/>
      <c r="F225" s="8"/>
      <c r="G225" s="7"/>
      <c r="H225" s="8"/>
      <c r="I225" s="100"/>
      <c r="J225" s="100"/>
      <c r="K225" s="100"/>
    </row>
    <row r="226" spans="1:11" x14ac:dyDescent="0.2">
      <c r="A226" s="10" t="s">
        <v>29</v>
      </c>
      <c r="B226" s="10" t="s">
        <v>28</v>
      </c>
      <c r="C226" s="9">
        <f>B210</f>
        <v>30000000</v>
      </c>
      <c r="D226" s="73">
        <f>MIN('Variables y Resumen'!$B$7,'Variables y Resumen'!$B$12-D219)</f>
        <v>2</v>
      </c>
      <c r="E226" s="12">
        <f>E219</f>
        <v>44441</v>
      </c>
      <c r="F226" s="12">
        <f>F219</f>
        <v>44441</v>
      </c>
      <c r="G226" s="41">
        <f>IF('Variables y Resumen'!$B$3=360,DAYS360(E226,F226),F226-E226)</f>
        <v>0</v>
      </c>
      <c r="H226" s="9">
        <f t="shared" ref="H226" si="16">C226*D226%/MID($H$16,8,3)*G226</f>
        <v>0</v>
      </c>
      <c r="I226" s="98"/>
      <c r="J226" s="98"/>
      <c r="K226" s="98"/>
    </row>
    <row r="227" spans="1:11" x14ac:dyDescent="0.2">
      <c r="A227" s="10" t="s">
        <v>30</v>
      </c>
      <c r="B227" s="10" t="s">
        <v>28</v>
      </c>
      <c r="C227" s="9">
        <f>C210</f>
        <v>5710579.9916666662</v>
      </c>
      <c r="D227" s="73">
        <f>MIN(D219+'Variables y Resumen'!$B$7,'Variables y Resumen'!$B$12)</f>
        <v>6.1476300000000004</v>
      </c>
      <c r="E227" s="12">
        <f>E219</f>
        <v>44441</v>
      </c>
      <c r="F227" s="12">
        <f>F220</f>
        <v>44441</v>
      </c>
      <c r="G227" s="41">
        <f>IF('Variables y Resumen'!$B$3=360,DAYS360(E227,F227),F227-E227)</f>
        <v>0</v>
      </c>
      <c r="H227" s="48">
        <f>IF('Variables y Resumen'!$B$11="SI",C227*D227%/MID($H$16,8,3)*G227,0)</f>
        <v>0</v>
      </c>
      <c r="I227" s="90"/>
      <c r="J227" s="90"/>
      <c r="K227" s="90"/>
    </row>
    <row r="228" spans="1:11" x14ac:dyDescent="0.2">
      <c r="A228" s="10" t="s">
        <v>30</v>
      </c>
      <c r="B228" s="10" t="s">
        <v>28</v>
      </c>
      <c r="C228" s="9">
        <f>D210</f>
        <v>1236762.6770420293</v>
      </c>
      <c r="D228" s="73">
        <f>D227</f>
        <v>6.1476300000000004</v>
      </c>
      <c r="E228" s="12">
        <f>E219</f>
        <v>44441</v>
      </c>
      <c r="F228" s="12">
        <f>F220</f>
        <v>44441</v>
      </c>
      <c r="G228" s="41">
        <f>IF('Variables y Resumen'!$B$3=360,DAYS360(E228,F228),F228-E228)</f>
        <v>0</v>
      </c>
      <c r="H228" s="48">
        <f>IF('Variables y Resumen'!$B$11="SI",C228*D228%/MID($H$16,8,3)*G228,0)</f>
        <v>0</v>
      </c>
      <c r="I228" s="98"/>
      <c r="J228" s="98"/>
      <c r="K228" s="98"/>
    </row>
    <row r="229" spans="1:11" x14ac:dyDescent="0.2">
      <c r="A229" s="8" t="s">
        <v>1</v>
      </c>
      <c r="B229" s="8" t="s">
        <v>2</v>
      </c>
      <c r="C229" s="8" t="s">
        <v>2</v>
      </c>
      <c r="D229" s="8" t="s">
        <v>2</v>
      </c>
      <c r="E229" s="8" t="s">
        <v>2</v>
      </c>
      <c r="F229" s="8" t="s">
        <v>2</v>
      </c>
      <c r="G229" s="7" t="s">
        <v>2</v>
      </c>
      <c r="H229" s="13">
        <f>SUM(H226:H228)</f>
        <v>0</v>
      </c>
      <c r="I229" s="99"/>
      <c r="J229" s="99"/>
      <c r="K229" s="99"/>
    </row>
  </sheetData>
  <sheetProtection sheet="1" objects="1" scenarios="1"/>
  <mergeCells count="27">
    <mergeCell ref="I140:N140"/>
    <mergeCell ref="I165:N165"/>
    <mergeCell ref="I193:N193"/>
    <mergeCell ref="I217:N217"/>
    <mergeCell ref="I16:N16"/>
    <mergeCell ref="I41:N41"/>
    <mergeCell ref="I65:N65"/>
    <mergeCell ref="I90:N90"/>
    <mergeCell ref="I115:N115"/>
    <mergeCell ref="A184:E184"/>
    <mergeCell ref="A192:C192"/>
    <mergeCell ref="A208:E208"/>
    <mergeCell ref="A216:C216"/>
    <mergeCell ref="A156:E156"/>
    <mergeCell ref="A164:C164"/>
    <mergeCell ref="A131:E131"/>
    <mergeCell ref="A139:C139"/>
    <mergeCell ref="A7:E7"/>
    <mergeCell ref="A114:C114"/>
    <mergeCell ref="A15:C15"/>
    <mergeCell ref="A32:E32"/>
    <mergeCell ref="A40:C40"/>
    <mergeCell ref="A56:E56"/>
    <mergeCell ref="A64:C64"/>
    <mergeCell ref="A81:E81"/>
    <mergeCell ref="A89:C89"/>
    <mergeCell ref="A106:E106"/>
  </mergeCells>
  <pageMargins left="0.75" right="0.75" top="1" bottom="1" header="0.5" footer="0.5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256"/>
  <sheetViews>
    <sheetView topLeftCell="A219" workbookViewId="0">
      <selection activeCell="D244" sqref="D244:D253"/>
    </sheetView>
  </sheetViews>
  <sheetFormatPr baseColWidth="10" defaultColWidth="20.5703125" defaultRowHeight="12.75" x14ac:dyDescent="0.2"/>
  <cols>
    <col min="1" max="11" width="20.5703125" style="89" customWidth="1"/>
    <col min="12" max="13" width="20.5703125" style="26"/>
    <col min="14" max="16384" width="20.5703125" style="89"/>
  </cols>
  <sheetData>
    <row r="3" spans="1:14" x14ac:dyDescent="0.2">
      <c r="H3" s="89" t="s">
        <v>7</v>
      </c>
      <c r="I3" s="50">
        <f>'Variables y Resumen'!$E$17</f>
        <v>5</v>
      </c>
    </row>
    <row r="5" spans="1:14" ht="15" x14ac:dyDescent="0.2">
      <c r="A5" s="34">
        <v>43175</v>
      </c>
      <c r="B5" s="34">
        <v>43360</v>
      </c>
      <c r="C5" s="5"/>
      <c r="D5" s="5"/>
      <c r="E5" s="5"/>
      <c r="F5" s="5"/>
      <c r="G5" s="5"/>
      <c r="H5" s="5"/>
      <c r="I5" s="5"/>
      <c r="J5" s="5"/>
      <c r="K5" s="5"/>
    </row>
    <row r="7" spans="1:14" x14ac:dyDescent="0.2">
      <c r="A7" s="176" t="s">
        <v>34</v>
      </c>
      <c r="B7" s="175"/>
      <c r="C7" s="175"/>
      <c r="D7" s="175"/>
      <c r="E7" s="175"/>
    </row>
    <row r="8" spans="1:14" ht="25.5" x14ac:dyDescent="0.2">
      <c r="A8" s="7" t="s">
        <v>23</v>
      </c>
      <c r="B8" s="7" t="s">
        <v>16</v>
      </c>
      <c r="C8" s="7" t="s">
        <v>17</v>
      </c>
      <c r="D8" s="7" t="s">
        <v>63</v>
      </c>
      <c r="E8" s="7" t="s">
        <v>1</v>
      </c>
    </row>
    <row r="9" spans="1:14" x14ac:dyDescent="0.2">
      <c r="A9" s="8" t="s">
        <v>36</v>
      </c>
      <c r="B9" s="9"/>
      <c r="C9" s="9"/>
      <c r="D9" s="9"/>
      <c r="E9" s="9">
        <f>SUM(B9:C9:D9)</f>
        <v>0</v>
      </c>
    </row>
    <row r="10" spans="1:14" x14ac:dyDescent="0.2">
      <c r="A10" s="8" t="s">
        <v>37</v>
      </c>
      <c r="B10" s="9">
        <v>5625000</v>
      </c>
      <c r="C10" s="9">
        <f>H22</f>
        <v>1316679.4640625003</v>
      </c>
      <c r="D10" s="9">
        <f>H31</f>
        <v>268.8586458333333</v>
      </c>
      <c r="E10" s="9">
        <f>SUM(B10:C10:D10)</f>
        <v>6941948.3227083338</v>
      </c>
    </row>
    <row r="11" spans="1:14" x14ac:dyDescent="0.2">
      <c r="A11" s="8" t="s">
        <v>38</v>
      </c>
      <c r="B11" s="9">
        <f>SUM(B9:B10)</f>
        <v>5625000</v>
      </c>
      <c r="C11" s="9">
        <f>SUM(C9:C10)</f>
        <v>1316679.4640625003</v>
      </c>
      <c r="D11" s="9">
        <f>SUM(D9:D10)</f>
        <v>268.8586458333333</v>
      </c>
      <c r="E11" s="9">
        <f>SUM(E9:E10)</f>
        <v>6941948.3227083338</v>
      </c>
    </row>
    <row r="15" spans="1:14" x14ac:dyDescent="0.2">
      <c r="A15" s="174" t="s">
        <v>24</v>
      </c>
      <c r="B15" s="175"/>
      <c r="C15" s="175"/>
    </row>
    <row r="16" spans="1:14" ht="25.5" x14ac:dyDescent="0.2">
      <c r="A16" s="7" t="s">
        <v>23</v>
      </c>
      <c r="B16" s="7" t="s">
        <v>27</v>
      </c>
      <c r="C16" s="7" t="s">
        <v>26</v>
      </c>
      <c r="D16" s="7" t="s">
        <v>25</v>
      </c>
      <c r="E16" s="7" t="s">
        <v>21</v>
      </c>
      <c r="F16" s="7" t="s">
        <v>22</v>
      </c>
      <c r="G16" s="7" t="str">
        <f>"Días ("&amp;'Variables y Resumen'!B3&amp;")"</f>
        <v>Días (365)</v>
      </c>
      <c r="H16" s="7" t="str">
        <f>"Monto ("&amp;'Variables y Resumen'!$B$4&amp;")"</f>
        <v>Monto (360)</v>
      </c>
      <c r="I16" s="178" t="s">
        <v>139</v>
      </c>
      <c r="J16" s="179"/>
      <c r="K16" s="179"/>
      <c r="L16" s="179"/>
      <c r="M16" s="179"/>
      <c r="N16" s="180"/>
    </row>
    <row r="17" spans="1:14" x14ac:dyDescent="0.2">
      <c r="A17" s="8" t="s">
        <v>17</v>
      </c>
      <c r="B17" s="8"/>
      <c r="C17" s="8"/>
      <c r="D17" s="8"/>
      <c r="E17" s="8"/>
      <c r="F17" s="8"/>
      <c r="G17" s="8"/>
      <c r="H17" s="8"/>
      <c r="I17" s="7" t="s">
        <v>141</v>
      </c>
      <c r="J17" s="7" t="s">
        <v>142</v>
      </c>
      <c r="K17" s="7" t="s">
        <v>135</v>
      </c>
      <c r="L17" s="35" t="s">
        <v>136</v>
      </c>
      <c r="M17" s="35" t="s">
        <v>134</v>
      </c>
      <c r="N17" s="36" t="s">
        <v>137</v>
      </c>
    </row>
    <row r="18" spans="1:14" x14ac:dyDescent="0.2">
      <c r="A18" s="10" t="s">
        <v>13</v>
      </c>
      <c r="B18" s="10" t="s">
        <v>8</v>
      </c>
      <c r="C18" s="9">
        <v>37800000</v>
      </c>
      <c r="D18" s="73">
        <f>MIN('Variables y Resumen'!$B$12,MIN('Variables y Resumen'!$B$5,$I$3)+N18 )</f>
        <v>6.4671900000000004</v>
      </c>
      <c r="E18" s="12">
        <v>43174</v>
      </c>
      <c r="F18" s="12">
        <v>43175</v>
      </c>
      <c r="G18" s="41">
        <f>IF('Variables y Resumen'!$B$3=360,DAYS360(E18,F18),F18-E18)</f>
        <v>1</v>
      </c>
      <c r="H18" s="9">
        <f>C18*D18%/MID($H$16,8,3)*G18</f>
        <v>6790.549500000001</v>
      </c>
      <c r="I18" s="96">
        <f>VLOOKUP(A5,Tabla_Libor,8,0)</f>
        <v>2.3636300000000001</v>
      </c>
      <c r="J18" s="95">
        <f>VLOOKUP(B5,Tabla_Libor,8,0)</f>
        <v>2.5707499999999999</v>
      </c>
      <c r="K18" s="38">
        <f>(I18+J18)/2</f>
        <v>2.46719</v>
      </c>
      <c r="L18" s="51">
        <v>2.3049999999999997</v>
      </c>
      <c r="M18" s="51">
        <f>MIN(I18:L18)</f>
        <v>2.3049999999999997</v>
      </c>
      <c r="N18" s="37">
        <f>HLOOKUP(Selección_Libor,I17:M18,2,0)</f>
        <v>2.46719</v>
      </c>
    </row>
    <row r="19" spans="1:14" x14ac:dyDescent="0.2">
      <c r="A19" s="10" t="s">
        <v>13</v>
      </c>
      <c r="B19" s="10" t="s">
        <v>8</v>
      </c>
      <c r="C19" s="9">
        <v>7200000</v>
      </c>
      <c r="D19" s="73">
        <f>D18</f>
        <v>6.4671900000000004</v>
      </c>
      <c r="E19" s="12">
        <v>43174</v>
      </c>
      <c r="F19" s="12">
        <v>43175</v>
      </c>
      <c r="G19" s="41">
        <f>IF('Variables y Resumen'!$B$3=360,DAYS360(E19,F19),F19-E19)</f>
        <v>1</v>
      </c>
      <c r="H19" s="9">
        <f t="shared" ref="H19:H21" si="0">C19*D19%/MID($H$16,8,3)*G19</f>
        <v>1293.4380000000001</v>
      </c>
      <c r="I19" s="98"/>
      <c r="J19" s="98"/>
      <c r="K19" s="98"/>
    </row>
    <row r="20" spans="1:14" x14ac:dyDescent="0.2">
      <c r="A20" s="10" t="s">
        <v>13</v>
      </c>
      <c r="B20" s="10" t="s">
        <v>8</v>
      </c>
      <c r="C20" s="9">
        <v>33075000</v>
      </c>
      <c r="D20" s="73">
        <f>D18</f>
        <v>6.4671900000000004</v>
      </c>
      <c r="E20" s="12">
        <v>43175</v>
      </c>
      <c r="F20" s="12">
        <v>43360</v>
      </c>
      <c r="G20" s="41">
        <f>IF('Variables y Resumen'!$B$3=360,DAYS360(E20,F20),F20-E20)</f>
        <v>185</v>
      </c>
      <c r="H20" s="9">
        <f t="shared" si="0"/>
        <v>1099220.2003125001</v>
      </c>
      <c r="I20" s="98"/>
      <c r="J20" s="98"/>
      <c r="K20" s="98"/>
    </row>
    <row r="21" spans="1:14" x14ac:dyDescent="0.2">
      <c r="A21" s="10" t="s">
        <v>13</v>
      </c>
      <c r="B21" s="10" t="s">
        <v>8</v>
      </c>
      <c r="C21" s="9">
        <v>6300000</v>
      </c>
      <c r="D21" s="73">
        <f>D18</f>
        <v>6.4671900000000004</v>
      </c>
      <c r="E21" s="12">
        <v>43175</v>
      </c>
      <c r="F21" s="12">
        <v>43360</v>
      </c>
      <c r="G21" s="41">
        <f>IF('Variables y Resumen'!$B$3=360,DAYS360(E21,F21),F21-E21)</f>
        <v>185</v>
      </c>
      <c r="H21" s="9">
        <f t="shared" si="0"/>
        <v>209375.27625000002</v>
      </c>
      <c r="I21" s="98"/>
      <c r="J21" s="98"/>
      <c r="K21" s="98"/>
    </row>
    <row r="22" spans="1:14" x14ac:dyDescent="0.2">
      <c r="A22" s="8" t="s">
        <v>1</v>
      </c>
      <c r="B22" s="8" t="s">
        <v>2</v>
      </c>
      <c r="C22" s="8" t="s">
        <v>2</v>
      </c>
      <c r="D22" s="8" t="s">
        <v>2</v>
      </c>
      <c r="E22" s="8" t="s">
        <v>2</v>
      </c>
      <c r="F22" s="8" t="s">
        <v>2</v>
      </c>
      <c r="G22" s="8" t="s">
        <v>2</v>
      </c>
      <c r="H22" s="13">
        <f>SUM(H18:H21)</f>
        <v>1316679.4640625003</v>
      </c>
      <c r="I22" s="99"/>
      <c r="J22" s="99"/>
      <c r="K22" s="99"/>
    </row>
    <row r="25" spans="1:14" ht="25.5" x14ac:dyDescent="0.2">
      <c r="A25" s="7" t="s">
        <v>23</v>
      </c>
      <c r="B25" s="7" t="s">
        <v>27</v>
      </c>
      <c r="C25" s="7" t="s">
        <v>26</v>
      </c>
      <c r="D25" s="7" t="s">
        <v>25</v>
      </c>
      <c r="E25" s="7" t="s">
        <v>21</v>
      </c>
      <c r="F25" s="7" t="s">
        <v>22</v>
      </c>
      <c r="G25" s="7" t="s">
        <v>35</v>
      </c>
      <c r="H25" s="7" t="s">
        <v>39</v>
      </c>
      <c r="I25" s="92"/>
      <c r="J25" s="92"/>
      <c r="K25" s="92"/>
    </row>
    <row r="26" spans="1:14" x14ac:dyDescent="0.2">
      <c r="A26" s="8" t="s">
        <v>20</v>
      </c>
      <c r="B26" s="8"/>
      <c r="C26" s="8"/>
      <c r="D26" s="8"/>
      <c r="E26" s="8"/>
      <c r="F26" s="8"/>
      <c r="G26" s="8"/>
      <c r="H26" s="8"/>
      <c r="I26" s="100"/>
      <c r="J26" s="100"/>
      <c r="K26" s="100"/>
    </row>
    <row r="27" spans="1:14" x14ac:dyDescent="0.2">
      <c r="A27" s="10" t="s">
        <v>29</v>
      </c>
      <c r="B27" s="10" t="s">
        <v>28</v>
      </c>
      <c r="C27" s="9">
        <v>4725000</v>
      </c>
      <c r="D27" s="73">
        <f>MIN('Variables y Resumen'!$B$7,'Variables y Resumen'!$B$12-D20)</f>
        <v>3.2809999999999562E-2</v>
      </c>
      <c r="E27" s="12">
        <v>43174</v>
      </c>
      <c r="F27" s="12">
        <v>43175</v>
      </c>
      <c r="G27" s="41">
        <f>IF('Variables y Resumen'!$B$3=360,DAYS360(E27,F27),F27-E27)</f>
        <v>1</v>
      </c>
      <c r="H27" s="9">
        <f t="shared" ref="H27:H28" si="1">C27*D27%/MID($H$16,8,3)*G27</f>
        <v>4.3063124999999429</v>
      </c>
      <c r="I27" s="98"/>
      <c r="J27" s="98"/>
      <c r="K27" s="98"/>
    </row>
    <row r="28" spans="1:14" x14ac:dyDescent="0.2">
      <c r="A28" s="10" t="s">
        <v>29</v>
      </c>
      <c r="B28" s="10" t="s">
        <v>28</v>
      </c>
      <c r="C28" s="9">
        <v>900000</v>
      </c>
      <c r="D28" s="73">
        <f>D27</f>
        <v>3.2809999999999562E-2</v>
      </c>
      <c r="E28" s="12">
        <v>43174</v>
      </c>
      <c r="F28" s="12">
        <v>43175</v>
      </c>
      <c r="G28" s="41">
        <f>IF('Variables y Resumen'!$B$3=360,DAYS360(E28,F28),F28-E28)</f>
        <v>1</v>
      </c>
      <c r="H28" s="9">
        <f t="shared" si="1"/>
        <v>0.82024999999998904</v>
      </c>
      <c r="I28" s="98"/>
      <c r="J28" s="98"/>
      <c r="K28" s="98"/>
    </row>
    <row r="29" spans="1:14" x14ac:dyDescent="0.2">
      <c r="A29" s="10" t="s">
        <v>30</v>
      </c>
      <c r="B29" s="10" t="s">
        <v>28</v>
      </c>
      <c r="C29" s="9">
        <v>233707.2</v>
      </c>
      <c r="D29" s="73">
        <f>MIN(D21+'Variables y Resumen'!$B$7,'Variables y Resumen'!$B$12)</f>
        <v>6.5</v>
      </c>
      <c r="E29" s="12">
        <v>43174</v>
      </c>
      <c r="F29" s="12">
        <v>43175</v>
      </c>
      <c r="G29" s="41">
        <f>IF('Variables y Resumen'!$B$3=360,DAYS360(E29,F29),F29-E29)</f>
        <v>1</v>
      </c>
      <c r="H29" s="48">
        <f>IF('Variables y Resumen'!$B$11="SI",C29*D29%/MID($H$16,8,3)*G29,0)</f>
        <v>42.197133333333333</v>
      </c>
      <c r="I29" s="90"/>
      <c r="J29" s="90"/>
      <c r="K29" s="90"/>
    </row>
    <row r="30" spans="1:14" x14ac:dyDescent="0.2">
      <c r="A30" s="10" t="s">
        <v>30</v>
      </c>
      <c r="B30" s="10" t="s">
        <v>28</v>
      </c>
      <c r="C30" s="9">
        <v>1226962.8</v>
      </c>
      <c r="D30" s="73">
        <f>D29</f>
        <v>6.5</v>
      </c>
      <c r="E30" s="12">
        <v>43174</v>
      </c>
      <c r="F30" s="12">
        <v>43175</v>
      </c>
      <c r="G30" s="41">
        <f>IF('Variables y Resumen'!$B$3=360,DAYS360(E30,F30),F30-E30)</f>
        <v>1</v>
      </c>
      <c r="H30" s="48">
        <f>IF('Variables y Resumen'!$B$11="SI",C30*D30%/MID($H$16,8,3)*G30,0)</f>
        <v>221.53495000000004</v>
      </c>
      <c r="I30" s="90"/>
      <c r="J30" s="90"/>
      <c r="K30" s="90"/>
    </row>
    <row r="31" spans="1:14" x14ac:dyDescent="0.2">
      <c r="A31" s="8" t="s">
        <v>1</v>
      </c>
      <c r="B31" s="8" t="s">
        <v>2</v>
      </c>
      <c r="C31" s="8" t="s">
        <v>2</v>
      </c>
      <c r="D31" s="8" t="s">
        <v>2</v>
      </c>
      <c r="E31" s="8" t="s">
        <v>2</v>
      </c>
      <c r="F31" s="8" t="s">
        <v>2</v>
      </c>
      <c r="G31" s="8" t="s">
        <v>2</v>
      </c>
      <c r="H31" s="13">
        <f>SUM(H27:H30)</f>
        <v>268.8586458333333</v>
      </c>
      <c r="I31" s="99"/>
      <c r="J31" s="99"/>
      <c r="K31" s="99"/>
    </row>
    <row r="34" spans="1:14" ht="15" x14ac:dyDescent="0.2">
      <c r="A34" s="34">
        <f>B5</f>
        <v>43360</v>
      </c>
      <c r="B34" s="34">
        <v>43539</v>
      </c>
      <c r="C34" s="5"/>
      <c r="D34" s="5"/>
      <c r="E34" s="5"/>
      <c r="F34" s="5"/>
      <c r="G34" s="5"/>
      <c r="H34" s="5"/>
      <c r="I34" s="5"/>
      <c r="J34" s="5"/>
      <c r="K34" s="5"/>
    </row>
    <row r="36" spans="1:14" x14ac:dyDescent="0.2">
      <c r="A36" s="176" t="s">
        <v>34</v>
      </c>
      <c r="B36" s="175"/>
      <c r="C36" s="175"/>
      <c r="D36" s="175"/>
      <c r="E36" s="175"/>
    </row>
    <row r="37" spans="1:14" ht="25.5" x14ac:dyDescent="0.2">
      <c r="A37" s="7" t="s">
        <v>23</v>
      </c>
      <c r="B37" s="7" t="s">
        <v>16</v>
      </c>
      <c r="C37" s="7" t="s">
        <v>17</v>
      </c>
      <c r="D37" s="7" t="s">
        <v>63</v>
      </c>
      <c r="E37" s="7" t="s">
        <v>1</v>
      </c>
    </row>
    <row r="38" spans="1:14" x14ac:dyDescent="0.2">
      <c r="A38" s="8" t="s">
        <v>36</v>
      </c>
      <c r="B38" s="9">
        <f>B11</f>
        <v>5625000</v>
      </c>
      <c r="C38" s="9">
        <f>C11</f>
        <v>1316679.4640625003</v>
      </c>
      <c r="D38" s="9">
        <f>D11</f>
        <v>268.8586458333333</v>
      </c>
      <c r="E38" s="9">
        <f>SUM(B38:C38:D38)</f>
        <v>6941948.3227083338</v>
      </c>
    </row>
    <row r="39" spans="1:14" x14ac:dyDescent="0.2">
      <c r="A39" s="8" t="s">
        <v>37</v>
      </c>
      <c r="B39" s="9">
        <v>5625000</v>
      </c>
      <c r="C39" s="9">
        <f>H49</f>
        <v>1272578.125</v>
      </c>
      <c r="D39" s="9">
        <f>H59</f>
        <v>42563.038151976281</v>
      </c>
      <c r="E39" s="9">
        <f>SUM(B39:C39:D39)</f>
        <v>6940141.1631519767</v>
      </c>
    </row>
    <row r="40" spans="1:14" x14ac:dyDescent="0.2">
      <c r="A40" s="8" t="s">
        <v>38</v>
      </c>
      <c r="B40" s="9">
        <f>SUM(B38:B39)</f>
        <v>11250000</v>
      </c>
      <c r="C40" s="9">
        <f>SUM(C38:C39)</f>
        <v>2589257.5890625003</v>
      </c>
      <c r="D40" s="9">
        <f>SUM(D38:D39)</f>
        <v>42831.896797809612</v>
      </c>
      <c r="E40" s="9">
        <f>SUM(E38:E39)</f>
        <v>13882089.48586031</v>
      </c>
    </row>
    <row r="44" spans="1:14" x14ac:dyDescent="0.2">
      <c r="A44" s="174" t="s">
        <v>24</v>
      </c>
      <c r="B44" s="175"/>
      <c r="C44" s="175"/>
    </row>
    <row r="45" spans="1:14" ht="25.5" x14ac:dyDescent="0.2">
      <c r="A45" s="7" t="s">
        <v>23</v>
      </c>
      <c r="B45" s="7" t="s">
        <v>27</v>
      </c>
      <c r="C45" s="7" t="s">
        <v>26</v>
      </c>
      <c r="D45" s="7" t="s">
        <v>25</v>
      </c>
      <c r="E45" s="7" t="s">
        <v>21</v>
      </c>
      <c r="F45" s="7" t="s">
        <v>22</v>
      </c>
      <c r="G45" s="7" t="s">
        <v>35</v>
      </c>
      <c r="H45" s="7" t="s">
        <v>39</v>
      </c>
      <c r="I45" s="178" t="s">
        <v>139</v>
      </c>
      <c r="J45" s="179"/>
      <c r="K45" s="179"/>
      <c r="L45" s="179"/>
      <c r="M45" s="179"/>
      <c r="N45" s="180"/>
    </row>
    <row r="46" spans="1:14" x14ac:dyDescent="0.2">
      <c r="A46" s="8" t="s">
        <v>17</v>
      </c>
      <c r="B46" s="8"/>
      <c r="C46" s="8"/>
      <c r="D46" s="8"/>
      <c r="E46" s="8"/>
      <c r="F46" s="8"/>
      <c r="G46" s="8"/>
      <c r="H46" s="8"/>
      <c r="I46" s="7" t="s">
        <v>141</v>
      </c>
      <c r="J46" s="7" t="s">
        <v>142</v>
      </c>
      <c r="K46" s="7" t="s">
        <v>135</v>
      </c>
      <c r="L46" s="35" t="s">
        <v>136</v>
      </c>
      <c r="M46" s="35" t="s">
        <v>134</v>
      </c>
      <c r="N46" s="36" t="s">
        <v>137</v>
      </c>
    </row>
    <row r="47" spans="1:14" x14ac:dyDescent="0.2">
      <c r="A47" s="10" t="s">
        <v>13</v>
      </c>
      <c r="B47" s="10" t="s">
        <v>8</v>
      </c>
      <c r="C47" s="9">
        <v>33075000</v>
      </c>
      <c r="D47" s="73">
        <f>MIN('Variables y Resumen'!$B$12,MIN('Variables y Resumen'!$B$5,$I$3)+N47 )</f>
        <v>6.5</v>
      </c>
      <c r="E47" s="12">
        <v>43360</v>
      </c>
      <c r="F47" s="12">
        <v>43539</v>
      </c>
      <c r="G47" s="41">
        <f>IF('Variables y Resumen'!$B$3=360,DAYS360(E47,F47),F47-E47)</f>
        <v>179</v>
      </c>
      <c r="H47" s="9">
        <f t="shared" ref="H47:H48" si="2">C47*D47%/MID($H$16,8,3)*G47</f>
        <v>1068965.625</v>
      </c>
      <c r="I47" s="96">
        <f>VLOOKUP(A34,Tabla_Libor,8,0)</f>
        <v>2.5707499999999999</v>
      </c>
      <c r="J47" s="95">
        <f>VLOOKUP(B34,Tabla_Libor,8,0)</f>
        <v>2.6717499999999998</v>
      </c>
      <c r="K47" s="38">
        <f>(I47+J47)/2</f>
        <v>2.6212499999999999</v>
      </c>
      <c r="L47" s="51">
        <v>2.5679999999999996</v>
      </c>
      <c r="M47" s="51">
        <f>MIN(I47:L47)</f>
        <v>2.5679999999999996</v>
      </c>
      <c r="N47" s="37">
        <f>HLOOKUP(Selección_Libor,I46:M47,2,0)</f>
        <v>2.6212499999999999</v>
      </c>
    </row>
    <row r="48" spans="1:14" x14ac:dyDescent="0.2">
      <c r="A48" s="10" t="s">
        <v>13</v>
      </c>
      <c r="B48" s="10" t="s">
        <v>8</v>
      </c>
      <c r="C48" s="9">
        <v>6300000</v>
      </c>
      <c r="D48" s="73">
        <f>D47</f>
        <v>6.5</v>
      </c>
      <c r="E48" s="12">
        <v>43360</v>
      </c>
      <c r="F48" s="12">
        <v>43539</v>
      </c>
      <c r="G48" s="41">
        <f>IF('Variables y Resumen'!$B$3=360,DAYS360(E48,F48),F48-E48)</f>
        <v>179</v>
      </c>
      <c r="H48" s="9">
        <f t="shared" si="2"/>
        <v>203612.5</v>
      </c>
      <c r="I48" s="98"/>
      <c r="J48" s="98"/>
      <c r="K48" s="98"/>
    </row>
    <row r="49" spans="1:11" x14ac:dyDescent="0.2">
      <c r="A49" s="8" t="s">
        <v>1</v>
      </c>
      <c r="B49" s="8" t="s">
        <v>2</v>
      </c>
      <c r="C49" s="8" t="s">
        <v>2</v>
      </c>
      <c r="D49" s="8" t="s">
        <v>2</v>
      </c>
      <c r="E49" s="8" t="s">
        <v>2</v>
      </c>
      <c r="F49" s="8" t="s">
        <v>2</v>
      </c>
      <c r="G49" s="8" t="s">
        <v>2</v>
      </c>
      <c r="H49" s="13">
        <f>SUM(H47:H48)</f>
        <v>1272578.125</v>
      </c>
      <c r="I49" s="99"/>
      <c r="J49" s="99"/>
      <c r="K49" s="99"/>
    </row>
    <row r="52" spans="1:11" ht="25.5" x14ac:dyDescent="0.2">
      <c r="A52" s="7" t="s">
        <v>23</v>
      </c>
      <c r="B52" s="7" t="s">
        <v>27</v>
      </c>
      <c r="C52" s="7" t="s">
        <v>26</v>
      </c>
      <c r="D52" s="7" t="s">
        <v>25</v>
      </c>
      <c r="E52" s="7" t="s">
        <v>21</v>
      </c>
      <c r="F52" s="7" t="s">
        <v>22</v>
      </c>
      <c r="G52" s="7" t="s">
        <v>35</v>
      </c>
      <c r="H52" s="7" t="s">
        <v>39</v>
      </c>
      <c r="I52" s="92"/>
      <c r="J52" s="92"/>
      <c r="K52" s="92"/>
    </row>
    <row r="53" spans="1:11" x14ac:dyDescent="0.2">
      <c r="A53" s="8" t="s">
        <v>20</v>
      </c>
      <c r="B53" s="8"/>
      <c r="C53" s="8"/>
      <c r="D53" s="8"/>
      <c r="E53" s="8"/>
      <c r="F53" s="8"/>
      <c r="G53" s="8"/>
      <c r="H53" s="8"/>
      <c r="I53" s="100"/>
      <c r="J53" s="100"/>
      <c r="K53" s="100"/>
    </row>
    <row r="54" spans="1:11" x14ac:dyDescent="0.2">
      <c r="A54" s="10" t="s">
        <v>29</v>
      </c>
      <c r="B54" s="10" t="s">
        <v>28</v>
      </c>
      <c r="C54" s="9">
        <f>B38</f>
        <v>5625000</v>
      </c>
      <c r="D54" s="73">
        <f>MIN('Variables y Resumen'!$B$7,'Variables y Resumen'!$B$12-D47)</f>
        <v>0</v>
      </c>
      <c r="E54" s="12">
        <v>43360</v>
      </c>
      <c r="F54" s="12">
        <v>43539</v>
      </c>
      <c r="G54" s="41">
        <f>IF('Variables y Resumen'!$B$3=360,DAYS360(E54,F54),F54-E54)</f>
        <v>179</v>
      </c>
      <c r="H54" s="9">
        <f t="shared" ref="H54" si="3">C54*D54%/MID($H$16,8,3)*G54</f>
        <v>0</v>
      </c>
      <c r="I54" s="98"/>
      <c r="J54" s="98"/>
      <c r="K54" s="98"/>
    </row>
    <row r="55" spans="1:11" x14ac:dyDescent="0.2">
      <c r="A55" s="10" t="s">
        <v>30</v>
      </c>
      <c r="B55" s="10" t="s">
        <v>28</v>
      </c>
      <c r="C55" s="9">
        <f>C38</f>
        <v>1316679.4640625003</v>
      </c>
      <c r="D55" s="73">
        <f>MIN(D47+'Variables y Resumen'!$B$7,'Variables y Resumen'!$B$12)</f>
        <v>6.5</v>
      </c>
      <c r="E55" s="12">
        <v>43360</v>
      </c>
      <c r="F55" s="12">
        <v>43539</v>
      </c>
      <c r="G55" s="41">
        <f>IF('Variables y Resumen'!$B$3=360,DAYS360(E55,F55),F55-E55)</f>
        <v>179</v>
      </c>
      <c r="H55" s="48">
        <f>IF('Variables y Resumen'!$B$11="SI",C55*D55%/MID($H$16,8,3)*G55,0)</f>
        <v>42554.348789908865</v>
      </c>
      <c r="I55" s="98"/>
      <c r="J55" s="98"/>
      <c r="K55" s="98"/>
    </row>
    <row r="56" spans="1:11" x14ac:dyDescent="0.2">
      <c r="A56" s="10" t="s">
        <v>30</v>
      </c>
      <c r="B56" s="10" t="s">
        <v>28</v>
      </c>
      <c r="C56" s="9">
        <f>D38</f>
        <v>268.8586458333333</v>
      </c>
      <c r="D56" s="73">
        <f>D55</f>
        <v>6.5</v>
      </c>
      <c r="E56" s="12">
        <v>43360</v>
      </c>
      <c r="F56" s="12">
        <v>43539</v>
      </c>
      <c r="G56" s="41">
        <f>IF('Variables y Resumen'!$B$3=360,DAYS360(E56,F56),F56-E56)</f>
        <v>179</v>
      </c>
      <c r="H56" s="48">
        <f>IF('Variables y Resumen'!$B$11="SI",C56*D56%/MID($H$16,8,3)*G56,0)</f>
        <v>8.6893620674189815</v>
      </c>
      <c r="I56" s="90"/>
      <c r="J56" s="90"/>
      <c r="K56" s="90"/>
    </row>
    <row r="57" spans="1:11" x14ac:dyDescent="0.2">
      <c r="A57" s="10"/>
      <c r="B57" s="10"/>
      <c r="C57" s="9"/>
      <c r="D57" s="11"/>
      <c r="E57" s="12"/>
      <c r="F57" s="12"/>
      <c r="G57" s="101"/>
      <c r="H57" s="9"/>
      <c r="I57" s="98"/>
      <c r="J57" s="98"/>
      <c r="K57" s="98"/>
    </row>
    <row r="58" spans="1:11" x14ac:dyDescent="0.2">
      <c r="A58" s="10"/>
      <c r="B58" s="10"/>
      <c r="C58" s="9"/>
      <c r="D58" s="11"/>
      <c r="E58" s="12"/>
      <c r="F58" s="12"/>
      <c r="G58" s="101"/>
      <c r="H58" s="9"/>
      <c r="I58" s="98"/>
      <c r="J58" s="98"/>
      <c r="K58" s="98"/>
    </row>
    <row r="59" spans="1:11" x14ac:dyDescent="0.2">
      <c r="A59" s="8" t="s">
        <v>1</v>
      </c>
      <c r="B59" s="8" t="s">
        <v>2</v>
      </c>
      <c r="C59" s="8" t="s">
        <v>2</v>
      </c>
      <c r="D59" s="8" t="s">
        <v>2</v>
      </c>
      <c r="E59" s="8" t="s">
        <v>2</v>
      </c>
      <c r="F59" s="8" t="s">
        <v>2</v>
      </c>
      <c r="G59" s="8" t="s">
        <v>2</v>
      </c>
      <c r="H59" s="13">
        <f>SUM(H54:H54:H55:H56:H57:H58)</f>
        <v>42563.038151976281</v>
      </c>
      <c r="I59" s="99"/>
      <c r="J59" s="99"/>
      <c r="K59" s="99"/>
    </row>
    <row r="61" spans="1:11" ht="15" x14ac:dyDescent="0.2">
      <c r="A61" s="34">
        <f>B34</f>
        <v>43539</v>
      </c>
      <c r="B61" s="34">
        <v>43724</v>
      </c>
      <c r="C61" s="5"/>
      <c r="D61" s="5"/>
      <c r="E61" s="5"/>
      <c r="F61" s="5"/>
      <c r="G61" s="5"/>
      <c r="H61" s="5"/>
      <c r="I61" s="5"/>
      <c r="J61" s="5"/>
      <c r="K61" s="5"/>
    </row>
    <row r="63" spans="1:11" x14ac:dyDescent="0.2">
      <c r="A63" s="176" t="s">
        <v>34</v>
      </c>
      <c r="B63" s="175"/>
      <c r="C63" s="175"/>
      <c r="D63" s="175"/>
      <c r="E63" s="175"/>
    </row>
    <row r="64" spans="1:11" ht="25.5" x14ac:dyDescent="0.2">
      <c r="A64" s="7" t="s">
        <v>23</v>
      </c>
      <c r="B64" s="7" t="s">
        <v>16</v>
      </c>
      <c r="C64" s="7" t="s">
        <v>17</v>
      </c>
      <c r="D64" s="7" t="s">
        <v>63</v>
      </c>
      <c r="E64" s="7" t="s">
        <v>1</v>
      </c>
    </row>
    <row r="65" spans="1:14" x14ac:dyDescent="0.2">
      <c r="A65" s="8" t="s">
        <v>36</v>
      </c>
      <c r="B65" s="9">
        <f>B40</f>
        <v>11250000</v>
      </c>
      <c r="C65" s="9">
        <f>C40</f>
        <v>2589257.5890625003</v>
      </c>
      <c r="D65" s="9">
        <f>D40</f>
        <v>42831.896797809612</v>
      </c>
      <c r="E65" s="9">
        <f>SUM(B65:C65:D65)</f>
        <v>13882089.48586031</v>
      </c>
    </row>
    <row r="66" spans="1:14" x14ac:dyDescent="0.2">
      <c r="A66" s="8" t="s">
        <v>37</v>
      </c>
      <c r="B66" s="9">
        <v>5625000</v>
      </c>
      <c r="C66" s="9">
        <f>H76</f>
        <v>1289916.1132812498</v>
      </c>
      <c r="D66" s="9">
        <f>H86</f>
        <v>95152.889249917323</v>
      </c>
      <c r="E66" s="9">
        <f>SUM(B66:C66:D66)</f>
        <v>7010069.0025311671</v>
      </c>
    </row>
    <row r="67" spans="1:14" x14ac:dyDescent="0.2">
      <c r="A67" s="8" t="s">
        <v>38</v>
      </c>
      <c r="B67" s="9">
        <f>SUM(B65:B66)</f>
        <v>16875000</v>
      </c>
      <c r="C67" s="9">
        <f>SUM(C65:C66)</f>
        <v>3879173.7023437498</v>
      </c>
      <c r="D67" s="9">
        <f>SUM(D65:D66)</f>
        <v>137984.78604772693</v>
      </c>
      <c r="E67" s="9">
        <f>SUM(E65:E66)</f>
        <v>20892158.488391478</v>
      </c>
    </row>
    <row r="71" spans="1:14" x14ac:dyDescent="0.2">
      <c r="A71" s="174" t="s">
        <v>24</v>
      </c>
      <c r="B71" s="175"/>
      <c r="C71" s="175"/>
    </row>
    <row r="72" spans="1:14" ht="25.5" x14ac:dyDescent="0.2">
      <c r="A72" s="7" t="s">
        <v>23</v>
      </c>
      <c r="B72" s="7" t="s">
        <v>27</v>
      </c>
      <c r="C72" s="7" t="s">
        <v>26</v>
      </c>
      <c r="D72" s="7" t="s">
        <v>25</v>
      </c>
      <c r="E72" s="7" t="s">
        <v>21</v>
      </c>
      <c r="F72" s="7" t="s">
        <v>22</v>
      </c>
      <c r="G72" s="7" t="s">
        <v>35</v>
      </c>
      <c r="H72" s="7" t="s">
        <v>39</v>
      </c>
      <c r="I72" s="178" t="s">
        <v>139</v>
      </c>
      <c r="J72" s="179"/>
      <c r="K72" s="179"/>
      <c r="L72" s="179"/>
      <c r="M72" s="179"/>
      <c r="N72" s="180"/>
    </row>
    <row r="73" spans="1:14" x14ac:dyDescent="0.2">
      <c r="A73" s="8" t="s">
        <v>17</v>
      </c>
      <c r="B73" s="8"/>
      <c r="C73" s="8"/>
      <c r="D73" s="8"/>
      <c r="E73" s="8"/>
      <c r="F73" s="8"/>
      <c r="G73" s="8"/>
      <c r="H73" s="8"/>
      <c r="I73" s="7" t="s">
        <v>141</v>
      </c>
      <c r="J73" s="7" t="s">
        <v>142</v>
      </c>
      <c r="K73" s="7" t="s">
        <v>135</v>
      </c>
      <c r="L73" s="35" t="s">
        <v>136</v>
      </c>
      <c r="M73" s="35" t="s">
        <v>134</v>
      </c>
      <c r="N73" s="36" t="s">
        <v>137</v>
      </c>
    </row>
    <row r="74" spans="1:14" x14ac:dyDescent="0.2">
      <c r="A74" s="10" t="s">
        <v>13</v>
      </c>
      <c r="B74" s="10" t="s">
        <v>8</v>
      </c>
      <c r="C74" s="9">
        <v>33075000</v>
      </c>
      <c r="D74" s="73">
        <f>MIN('Variables y Resumen'!$B$12,MIN('Variables y Resumen'!$B$5,$I$3)+N74 )</f>
        <v>6.3748749999999994</v>
      </c>
      <c r="E74" s="12">
        <v>43539</v>
      </c>
      <c r="F74" s="12">
        <v>43724</v>
      </c>
      <c r="G74" s="41">
        <f>IF('Variables y Resumen'!$B$3=360,DAYS360(E74,F74),F74-E74)</f>
        <v>185</v>
      </c>
      <c r="H74" s="9">
        <f t="shared" ref="H74:H75" si="4">C74*D74%/MID($H$16,8,3)*G74</f>
        <v>1083529.5351562498</v>
      </c>
      <c r="I74" s="96">
        <f>VLOOKUP(A61,Tabla_Libor,8,0)</f>
        <v>2.6717499999999998</v>
      </c>
      <c r="J74" s="95">
        <f>VLOOKUP(B61,Tabla_Libor,8,0)</f>
        <v>2.0779999999999998</v>
      </c>
      <c r="K74" s="38">
        <f>(I74+J74)/2</f>
        <v>2.3748749999999998</v>
      </c>
      <c r="L74" s="51">
        <v>2.6769999999999996</v>
      </c>
      <c r="M74" s="51">
        <f>MIN(I74:L74)</f>
        <v>2.0779999999999998</v>
      </c>
      <c r="N74" s="37">
        <f>HLOOKUP(Selección_Libor,I73:M74,2,0)</f>
        <v>2.3748749999999998</v>
      </c>
    </row>
    <row r="75" spans="1:14" x14ac:dyDescent="0.2">
      <c r="A75" s="10" t="s">
        <v>13</v>
      </c>
      <c r="B75" s="10" t="s">
        <v>8</v>
      </c>
      <c r="C75" s="9">
        <v>6300000</v>
      </c>
      <c r="D75" s="73">
        <f>D74</f>
        <v>6.3748749999999994</v>
      </c>
      <c r="E75" s="12">
        <v>43539</v>
      </c>
      <c r="F75" s="12">
        <v>43724</v>
      </c>
      <c r="G75" s="41">
        <f>IF('Variables y Resumen'!$B$3=360,DAYS360(E75,F75),F75-E75)</f>
        <v>185</v>
      </c>
      <c r="H75" s="9">
        <f t="shared" si="4"/>
        <v>206386.57812499997</v>
      </c>
      <c r="I75" s="98"/>
      <c r="J75" s="98"/>
      <c r="K75" s="98"/>
    </row>
    <row r="76" spans="1:14" x14ac:dyDescent="0.2">
      <c r="A76" s="8" t="s">
        <v>1</v>
      </c>
      <c r="B76" s="8" t="s">
        <v>2</v>
      </c>
      <c r="C76" s="8" t="s">
        <v>2</v>
      </c>
      <c r="D76" s="8" t="s">
        <v>2</v>
      </c>
      <c r="E76" s="8" t="s">
        <v>2</v>
      </c>
      <c r="F76" s="8" t="s">
        <v>2</v>
      </c>
      <c r="G76" s="8" t="s">
        <v>2</v>
      </c>
      <c r="H76" s="13">
        <f>SUM(H74:H75)</f>
        <v>1289916.1132812498</v>
      </c>
      <c r="I76" s="99"/>
      <c r="J76" s="99"/>
      <c r="K76" s="99"/>
    </row>
    <row r="77" spans="1:14" x14ac:dyDescent="0.2">
      <c r="D77" s="107"/>
    </row>
    <row r="78" spans="1:14" x14ac:dyDescent="0.2">
      <c r="D78" s="107"/>
    </row>
    <row r="79" spans="1:14" ht="25.5" x14ac:dyDescent="0.2">
      <c r="A79" s="7" t="s">
        <v>23</v>
      </c>
      <c r="B79" s="7" t="s">
        <v>27</v>
      </c>
      <c r="C79" s="7" t="s">
        <v>26</v>
      </c>
      <c r="D79" s="7" t="s">
        <v>25</v>
      </c>
      <c r="E79" s="7" t="s">
        <v>21</v>
      </c>
      <c r="F79" s="7" t="s">
        <v>22</v>
      </c>
      <c r="G79" s="7" t="s">
        <v>35</v>
      </c>
      <c r="H79" s="7" t="s">
        <v>39</v>
      </c>
      <c r="I79" s="92"/>
      <c r="J79" s="92"/>
      <c r="K79" s="92"/>
    </row>
    <row r="80" spans="1:14" x14ac:dyDescent="0.2">
      <c r="A80" s="8" t="s">
        <v>20</v>
      </c>
      <c r="B80" s="8"/>
      <c r="C80" s="8"/>
      <c r="D80" s="8"/>
      <c r="E80" s="8"/>
      <c r="F80" s="8"/>
      <c r="G80" s="8"/>
      <c r="H80" s="8"/>
      <c r="I80" s="100"/>
      <c r="J80" s="100"/>
      <c r="K80" s="100"/>
    </row>
    <row r="81" spans="1:11" x14ac:dyDescent="0.2">
      <c r="A81" s="10" t="s">
        <v>29</v>
      </c>
      <c r="B81" s="10" t="s">
        <v>28</v>
      </c>
      <c r="C81" s="9">
        <f>B65</f>
        <v>11250000</v>
      </c>
      <c r="D81" s="73">
        <f>MIN('Variables y Resumen'!$B$7,'Variables y Resumen'!$B$12-D74)</f>
        <v>0.1251250000000006</v>
      </c>
      <c r="E81" s="12">
        <v>43539</v>
      </c>
      <c r="F81" s="12">
        <v>43724</v>
      </c>
      <c r="G81" s="41">
        <f>IF('Variables y Resumen'!$B$3=360,DAYS360(E81,F81),F81-E81)</f>
        <v>185</v>
      </c>
      <c r="H81" s="9">
        <f t="shared" ref="H81" si="5">C81*D81%/MID($H$16,8,3)*G81</f>
        <v>7233.7890625000346</v>
      </c>
      <c r="I81" s="98"/>
      <c r="J81" s="98"/>
      <c r="K81" s="98"/>
    </row>
    <row r="82" spans="1:11" x14ac:dyDescent="0.2">
      <c r="A82" s="10" t="s">
        <v>30</v>
      </c>
      <c r="B82" s="10" t="s">
        <v>28</v>
      </c>
      <c r="C82" s="9">
        <f>C65</f>
        <v>2589257.5890625003</v>
      </c>
      <c r="D82" s="73">
        <f>MIN(D74+'Variables y Resumen'!$B$7,'Variables y Resumen'!$B$12)</f>
        <v>6.5</v>
      </c>
      <c r="E82" s="12">
        <v>43539</v>
      </c>
      <c r="F82" s="12">
        <v>43724</v>
      </c>
      <c r="G82" s="41">
        <f>IF('Variables y Resumen'!$B$3=360,DAYS360(E82,F82),F82-E82)</f>
        <v>185</v>
      </c>
      <c r="H82" s="48">
        <f>IF('Variables y Resumen'!$B$11="SI",C82*D82%/MID($H$16,8,3)*G82,0)</f>
        <v>86488.395856879346</v>
      </c>
      <c r="I82" s="90"/>
      <c r="J82" s="90"/>
      <c r="K82" s="90"/>
    </row>
    <row r="83" spans="1:11" x14ac:dyDescent="0.2">
      <c r="A83" s="10" t="s">
        <v>30</v>
      </c>
      <c r="B83" s="10" t="s">
        <v>28</v>
      </c>
      <c r="C83" s="9">
        <f>D65</f>
        <v>42831.896797809612</v>
      </c>
      <c r="D83" s="73">
        <f>D82</f>
        <v>6.5</v>
      </c>
      <c r="E83" s="12">
        <v>43539</v>
      </c>
      <c r="F83" s="12">
        <v>43724</v>
      </c>
      <c r="G83" s="41">
        <f>IF('Variables y Resumen'!$B$3=360,DAYS360(E83,F83),F83-E83)</f>
        <v>185</v>
      </c>
      <c r="H83" s="48">
        <f>IF('Variables y Resumen'!$B$11="SI",C83*D83%/MID($H$16,8,3)*G83,0)</f>
        <v>1430.7043305379461</v>
      </c>
      <c r="I83" s="90"/>
      <c r="J83" s="90"/>
      <c r="K83" s="90"/>
    </row>
    <row r="84" spans="1:11" x14ac:dyDescent="0.2">
      <c r="A84" s="10"/>
      <c r="B84" s="10"/>
      <c r="C84" s="9"/>
      <c r="D84" s="11"/>
      <c r="E84" s="12"/>
      <c r="F84" s="12"/>
      <c r="G84" s="101"/>
      <c r="H84" s="9"/>
      <c r="I84" s="98"/>
      <c r="J84" s="98"/>
      <c r="K84" s="98"/>
    </row>
    <row r="85" spans="1:11" x14ac:dyDescent="0.2">
      <c r="A85" s="10"/>
      <c r="B85" s="10"/>
      <c r="C85" s="9"/>
      <c r="D85" s="11"/>
      <c r="E85" s="12"/>
      <c r="F85" s="12"/>
      <c r="G85" s="101"/>
      <c r="H85" s="9"/>
      <c r="I85" s="98"/>
      <c r="J85" s="98"/>
      <c r="K85" s="98"/>
    </row>
    <row r="86" spans="1:11" x14ac:dyDescent="0.2">
      <c r="A86" s="8" t="s">
        <v>1</v>
      </c>
      <c r="B86" s="8" t="s">
        <v>2</v>
      </c>
      <c r="C86" s="8" t="s">
        <v>2</v>
      </c>
      <c r="D86" s="8" t="s">
        <v>2</v>
      </c>
      <c r="E86" s="8" t="s">
        <v>2</v>
      </c>
      <c r="F86" s="8" t="s">
        <v>2</v>
      </c>
      <c r="G86" s="8" t="s">
        <v>2</v>
      </c>
      <c r="H86" s="13">
        <f>SUM(H81:H81:H82:H83:H84:H85)</f>
        <v>95152.889249917323</v>
      </c>
      <c r="I86" s="99"/>
      <c r="J86" s="99"/>
      <c r="K86" s="99"/>
    </row>
    <row r="88" spans="1:11" ht="15" x14ac:dyDescent="0.2">
      <c r="A88" s="34">
        <f>B61</f>
        <v>43724</v>
      </c>
      <c r="B88" s="34">
        <v>43906</v>
      </c>
      <c r="C88" s="5"/>
      <c r="D88" s="5"/>
      <c r="E88" s="5"/>
      <c r="F88" s="5"/>
      <c r="G88" s="5"/>
      <c r="H88" s="5"/>
      <c r="I88" s="5"/>
      <c r="J88" s="5"/>
      <c r="K88" s="5"/>
    </row>
    <row r="90" spans="1:11" x14ac:dyDescent="0.2">
      <c r="A90" s="176" t="s">
        <v>34</v>
      </c>
      <c r="B90" s="175"/>
      <c r="C90" s="175"/>
      <c r="D90" s="175"/>
      <c r="E90" s="175"/>
    </row>
    <row r="91" spans="1:11" ht="25.5" x14ac:dyDescent="0.2">
      <c r="A91" s="7" t="s">
        <v>23</v>
      </c>
      <c r="B91" s="7" t="s">
        <v>16</v>
      </c>
      <c r="C91" s="7" t="s">
        <v>17</v>
      </c>
      <c r="D91" s="7" t="s">
        <v>63</v>
      </c>
      <c r="E91" s="7" t="s">
        <v>1</v>
      </c>
    </row>
    <row r="92" spans="1:11" x14ac:dyDescent="0.2">
      <c r="A92" s="8" t="s">
        <v>36</v>
      </c>
      <c r="B92" s="9">
        <f>B67</f>
        <v>16875000</v>
      </c>
      <c r="C92" s="9">
        <f>C67</f>
        <v>3879173.7023437498</v>
      </c>
      <c r="D92" s="9">
        <f>D67</f>
        <v>137984.78604772693</v>
      </c>
      <c r="E92" s="9">
        <f>SUM(B92:C92:D92)</f>
        <v>20892158.488391478</v>
      </c>
    </row>
    <row r="93" spans="1:11" x14ac:dyDescent="0.2">
      <c r="A93" s="8" t="s">
        <v>37</v>
      </c>
      <c r="B93" s="9">
        <v>5625000</v>
      </c>
      <c r="C93" s="9">
        <f>H103</f>
        <v>1087055.4296875</v>
      </c>
      <c r="D93" s="9">
        <f>H113</f>
        <v>220658.64300047551</v>
      </c>
      <c r="E93" s="9">
        <f>SUM(B93:C93:D93)</f>
        <v>6932714.0726879751</v>
      </c>
    </row>
    <row r="94" spans="1:11" x14ac:dyDescent="0.2">
      <c r="A94" s="8" t="s">
        <v>38</v>
      </c>
      <c r="B94" s="9">
        <f>SUM(B92:B93)</f>
        <v>22500000</v>
      </c>
      <c r="C94" s="9">
        <f>SUM(C92:C93)</f>
        <v>4966229.1320312498</v>
      </c>
      <c r="D94" s="9">
        <f>SUM(D92:D93)</f>
        <v>358643.42904820247</v>
      </c>
      <c r="E94" s="9">
        <f>SUM(E92:E93)</f>
        <v>27824872.561079454</v>
      </c>
    </row>
    <row r="98" spans="1:14" x14ac:dyDescent="0.2">
      <c r="A98" s="174" t="s">
        <v>24</v>
      </c>
      <c r="B98" s="175"/>
      <c r="C98" s="175"/>
    </row>
    <row r="99" spans="1:14" ht="25.5" x14ac:dyDescent="0.2">
      <c r="A99" s="7" t="s">
        <v>23</v>
      </c>
      <c r="B99" s="7" t="s">
        <v>27</v>
      </c>
      <c r="C99" s="7" t="s">
        <v>26</v>
      </c>
      <c r="D99" s="7" t="s">
        <v>25</v>
      </c>
      <c r="E99" s="7" t="s">
        <v>21</v>
      </c>
      <c r="F99" s="7" t="s">
        <v>22</v>
      </c>
      <c r="G99" s="7" t="s">
        <v>35</v>
      </c>
      <c r="H99" s="7" t="s">
        <v>39</v>
      </c>
      <c r="I99" s="178" t="s">
        <v>139</v>
      </c>
      <c r="J99" s="179"/>
      <c r="K99" s="179"/>
      <c r="L99" s="179"/>
      <c r="M99" s="179"/>
      <c r="N99" s="180"/>
    </row>
    <row r="100" spans="1:14" x14ac:dyDescent="0.2">
      <c r="A100" s="8" t="s">
        <v>17</v>
      </c>
      <c r="B100" s="8"/>
      <c r="C100" s="8"/>
      <c r="D100" s="8"/>
      <c r="E100" s="8"/>
      <c r="F100" s="8"/>
      <c r="G100" s="8"/>
      <c r="H100" s="8"/>
      <c r="I100" s="7" t="s">
        <v>141</v>
      </c>
      <c r="J100" s="7" t="s">
        <v>142</v>
      </c>
      <c r="K100" s="7" t="s">
        <v>135</v>
      </c>
      <c r="L100" s="35" t="s">
        <v>136</v>
      </c>
      <c r="M100" s="35" t="s">
        <v>134</v>
      </c>
      <c r="N100" s="36" t="s">
        <v>137</v>
      </c>
    </row>
    <row r="101" spans="1:14" x14ac:dyDescent="0.2">
      <c r="A101" s="10" t="s">
        <v>13</v>
      </c>
      <c r="B101" s="10" t="s">
        <v>8</v>
      </c>
      <c r="C101" s="9">
        <v>33075000</v>
      </c>
      <c r="D101" s="73">
        <f>MIN('Variables y Resumen'!$B$12,MIN('Variables y Resumen'!$B$5,$I$3)+N101 )</f>
        <v>5.4608749999999997</v>
      </c>
      <c r="E101" s="12">
        <v>43724</v>
      </c>
      <c r="F101" s="12">
        <v>43906</v>
      </c>
      <c r="G101" s="41">
        <f>IF('Variables y Resumen'!$B$3=360,DAYS360(E101,F101),F101-E101)</f>
        <v>182</v>
      </c>
      <c r="H101" s="9">
        <f t="shared" ref="H101:H102" si="6">C101*D101%/MID($H$16,8,3)*G101</f>
        <v>913126.56093749998</v>
      </c>
      <c r="I101" s="96">
        <f>VLOOKUP(A88,Tabla_Libor,8,0)</f>
        <v>2.0779999999999998</v>
      </c>
      <c r="J101" s="95">
        <f>VLOOKUP(B88,Tabla_Libor,8,0)</f>
        <v>0.84375</v>
      </c>
      <c r="K101" s="38">
        <f>(I101+J101)/2</f>
        <v>1.4608749999999999</v>
      </c>
      <c r="L101" s="51">
        <v>2.048</v>
      </c>
      <c r="M101" s="51">
        <f>MIN(I101:L101)</f>
        <v>0.84375</v>
      </c>
      <c r="N101" s="37">
        <f>HLOOKUP(Selección_Libor,I100:M101,2,0)</f>
        <v>1.4608749999999999</v>
      </c>
    </row>
    <row r="102" spans="1:14" x14ac:dyDescent="0.2">
      <c r="A102" s="10" t="s">
        <v>13</v>
      </c>
      <c r="B102" s="10" t="s">
        <v>8</v>
      </c>
      <c r="C102" s="9">
        <v>6300000</v>
      </c>
      <c r="D102" s="73">
        <f>D101</f>
        <v>5.4608749999999997</v>
      </c>
      <c r="E102" s="12">
        <v>43724</v>
      </c>
      <c r="F102" s="12">
        <v>43906</v>
      </c>
      <c r="G102" s="41">
        <f>IF('Variables y Resumen'!$B$3=360,DAYS360(E102,F102),F102-E102)</f>
        <v>182</v>
      </c>
      <c r="H102" s="9">
        <f t="shared" si="6"/>
        <v>173928.86874999999</v>
      </c>
      <c r="I102" s="98"/>
      <c r="J102" s="98"/>
      <c r="K102" s="98"/>
    </row>
    <row r="103" spans="1:14" x14ac:dyDescent="0.2">
      <c r="A103" s="8" t="s">
        <v>1</v>
      </c>
      <c r="B103" s="8" t="s">
        <v>2</v>
      </c>
      <c r="C103" s="8" t="s">
        <v>2</v>
      </c>
      <c r="D103" s="8" t="s">
        <v>2</v>
      </c>
      <c r="E103" s="8" t="s">
        <v>2</v>
      </c>
      <c r="F103" s="8" t="s">
        <v>2</v>
      </c>
      <c r="G103" s="8" t="s">
        <v>2</v>
      </c>
      <c r="H103" s="13">
        <f>SUM(H101:H102)</f>
        <v>1087055.4296875</v>
      </c>
      <c r="I103" s="99"/>
      <c r="J103" s="99"/>
      <c r="K103" s="99"/>
    </row>
    <row r="104" spans="1:14" x14ac:dyDescent="0.2">
      <c r="D104" s="107"/>
    </row>
    <row r="105" spans="1:14" x14ac:dyDescent="0.2">
      <c r="D105" s="107"/>
    </row>
    <row r="106" spans="1:14" ht="25.5" x14ac:dyDescent="0.2">
      <c r="A106" s="7" t="s">
        <v>23</v>
      </c>
      <c r="B106" s="7" t="s">
        <v>27</v>
      </c>
      <c r="C106" s="7" t="s">
        <v>26</v>
      </c>
      <c r="D106" s="7" t="s">
        <v>25</v>
      </c>
      <c r="E106" s="7" t="s">
        <v>21</v>
      </c>
      <c r="F106" s="7" t="s">
        <v>22</v>
      </c>
      <c r="G106" s="7" t="s">
        <v>35</v>
      </c>
      <c r="H106" s="7" t="s">
        <v>39</v>
      </c>
      <c r="I106" s="92"/>
      <c r="J106" s="92"/>
      <c r="K106" s="92"/>
    </row>
    <row r="107" spans="1:14" x14ac:dyDescent="0.2">
      <c r="A107" s="8" t="s">
        <v>20</v>
      </c>
      <c r="B107" s="8"/>
      <c r="C107" s="8"/>
      <c r="D107" s="8"/>
      <c r="E107" s="8"/>
      <c r="F107" s="8"/>
      <c r="G107" s="8"/>
      <c r="H107" s="8"/>
      <c r="I107" s="100"/>
      <c r="J107" s="100"/>
      <c r="K107" s="100"/>
    </row>
    <row r="108" spans="1:14" x14ac:dyDescent="0.2">
      <c r="A108" s="10" t="s">
        <v>29</v>
      </c>
      <c r="B108" s="10" t="s">
        <v>28</v>
      </c>
      <c r="C108" s="9">
        <f>B92</f>
        <v>16875000</v>
      </c>
      <c r="D108" s="73">
        <f>MIN('Variables y Resumen'!$B$7,'Variables y Resumen'!$B$12-D101)</f>
        <v>1.0391250000000003</v>
      </c>
      <c r="E108" s="12">
        <v>43724</v>
      </c>
      <c r="F108" s="12">
        <v>43906</v>
      </c>
      <c r="G108" s="41">
        <f>IF('Variables y Resumen'!$B$3=360,DAYS360(E108,F108),F108-E108)</f>
        <v>182</v>
      </c>
      <c r="H108" s="9">
        <f t="shared" ref="H108" si="7">C108*D108%/MID($H$16,8,3)*G108</f>
        <v>88650.351562500029</v>
      </c>
      <c r="I108" s="98"/>
      <c r="J108" s="98"/>
      <c r="K108" s="98"/>
    </row>
    <row r="109" spans="1:14" x14ac:dyDescent="0.2">
      <c r="A109" s="10" t="s">
        <v>30</v>
      </c>
      <c r="B109" s="10" t="s">
        <v>28</v>
      </c>
      <c r="C109" s="9">
        <f>C92</f>
        <v>3879173.7023437498</v>
      </c>
      <c r="D109" s="73">
        <f>MIN(D101+'Variables y Resumen'!$B$7,'Variables y Resumen'!$B$12)</f>
        <v>6.5</v>
      </c>
      <c r="E109" s="12">
        <v>43724</v>
      </c>
      <c r="F109" s="12">
        <v>43906</v>
      </c>
      <c r="G109" s="41">
        <f>IF('Variables y Resumen'!$B$3=360,DAYS360(E109,F109),F109-E109)</f>
        <v>182</v>
      </c>
      <c r="H109" s="48">
        <f>IF('Variables y Resumen'!$B$11="SI",C109*D109%/MID($H$16,8,3)*G109,0)</f>
        <v>127473.95805201824</v>
      </c>
      <c r="I109" s="90"/>
      <c r="J109" s="90"/>
      <c r="K109" s="90"/>
    </row>
    <row r="110" spans="1:14" x14ac:dyDescent="0.2">
      <c r="A110" s="10" t="s">
        <v>30</v>
      </c>
      <c r="B110" s="10" t="s">
        <v>28</v>
      </c>
      <c r="C110" s="9">
        <f>D92</f>
        <v>137984.78604772693</v>
      </c>
      <c r="D110" s="73">
        <f>D109</f>
        <v>6.5</v>
      </c>
      <c r="E110" s="12">
        <v>43724</v>
      </c>
      <c r="F110" s="12">
        <v>43906</v>
      </c>
      <c r="G110" s="41">
        <f>IF('Variables y Resumen'!$B$3=360,DAYS360(E110,F110),F110-E110)</f>
        <v>182</v>
      </c>
      <c r="H110" s="48">
        <f>IF('Variables y Resumen'!$B$11="SI",C110*D110%/MID($H$16,8,3)*G110,0)</f>
        <v>4534.3333859572485</v>
      </c>
      <c r="I110" s="90"/>
      <c r="J110" s="90"/>
      <c r="K110" s="90"/>
    </row>
    <row r="111" spans="1:14" x14ac:dyDescent="0.2">
      <c r="A111" s="10"/>
      <c r="B111" s="10"/>
      <c r="C111" s="9"/>
      <c r="D111" s="11"/>
      <c r="E111" s="12"/>
      <c r="F111" s="12"/>
      <c r="G111" s="101"/>
      <c r="H111" s="9"/>
      <c r="I111" s="98"/>
      <c r="J111" s="98"/>
      <c r="K111" s="98"/>
    </row>
    <row r="112" spans="1:14" x14ac:dyDescent="0.2">
      <c r="A112" s="10"/>
      <c r="B112" s="10"/>
      <c r="C112" s="9"/>
      <c r="D112" s="11"/>
      <c r="E112" s="12"/>
      <c r="F112" s="12"/>
      <c r="G112" s="101"/>
      <c r="H112" s="9"/>
      <c r="I112" s="98"/>
      <c r="J112" s="98"/>
      <c r="K112" s="98"/>
    </row>
    <row r="113" spans="1:14" x14ac:dyDescent="0.2">
      <c r="A113" s="8" t="s">
        <v>1</v>
      </c>
      <c r="B113" s="8" t="s">
        <v>2</v>
      </c>
      <c r="C113" s="8" t="s">
        <v>2</v>
      </c>
      <c r="D113" s="8" t="s">
        <v>2</v>
      </c>
      <c r="E113" s="8" t="s">
        <v>2</v>
      </c>
      <c r="F113" s="8" t="s">
        <v>2</v>
      </c>
      <c r="G113" s="8" t="s">
        <v>2</v>
      </c>
      <c r="H113" s="13">
        <f>SUM(H108:H108:H109:H110:H111:H112)</f>
        <v>220658.64300047551</v>
      </c>
      <c r="I113" s="99"/>
      <c r="J113" s="99"/>
      <c r="K113" s="99"/>
    </row>
    <row r="114" spans="1:14" x14ac:dyDescent="0.2">
      <c r="A114" s="102"/>
      <c r="B114" s="102"/>
      <c r="C114" s="102"/>
      <c r="D114" s="102"/>
      <c r="E114" s="102"/>
      <c r="F114" s="102"/>
      <c r="G114" s="102"/>
      <c r="H114" s="103"/>
      <c r="I114" s="103"/>
      <c r="J114" s="103"/>
      <c r="K114" s="103"/>
    </row>
    <row r="117" spans="1:14" ht="15" x14ac:dyDescent="0.2">
      <c r="A117" s="34">
        <f>B88</f>
        <v>43906</v>
      </c>
      <c r="B117" s="34">
        <v>44089</v>
      </c>
      <c r="C117" s="5"/>
      <c r="D117" s="5"/>
      <c r="E117" s="5"/>
      <c r="F117" s="5"/>
      <c r="G117" s="5"/>
      <c r="H117" s="5"/>
      <c r="I117" s="5"/>
      <c r="J117" s="5"/>
      <c r="K117" s="5"/>
    </row>
    <row r="119" spans="1:14" x14ac:dyDescent="0.2">
      <c r="A119" s="176" t="s">
        <v>34</v>
      </c>
      <c r="B119" s="175"/>
      <c r="C119" s="175"/>
      <c r="D119" s="175"/>
      <c r="E119" s="175"/>
    </row>
    <row r="120" spans="1:14" ht="25.5" x14ac:dyDescent="0.2">
      <c r="A120" s="7" t="s">
        <v>23</v>
      </c>
      <c r="B120" s="7" t="s">
        <v>16</v>
      </c>
      <c r="C120" s="7" t="s">
        <v>17</v>
      </c>
      <c r="D120" s="7" t="s">
        <v>63</v>
      </c>
      <c r="E120" s="7" t="s">
        <v>1</v>
      </c>
    </row>
    <row r="121" spans="1:14" x14ac:dyDescent="0.2">
      <c r="A121" s="8" t="s">
        <v>36</v>
      </c>
      <c r="B121" s="9">
        <f>B94</f>
        <v>22500000</v>
      </c>
      <c r="C121" s="9">
        <f>C94</f>
        <v>4966229.1320312498</v>
      </c>
      <c r="D121" s="9">
        <f>D94</f>
        <v>358643.42904820247</v>
      </c>
      <c r="E121" s="9">
        <f>SUM(B121:C121:D121)</f>
        <v>27824872.561079454</v>
      </c>
    </row>
    <row r="122" spans="1:14" x14ac:dyDescent="0.2">
      <c r="A122" s="8" t="s">
        <v>37</v>
      </c>
      <c r="B122" s="9">
        <v>5625000</v>
      </c>
      <c r="C122" s="9">
        <f>H132</f>
        <v>912412.26562500012</v>
      </c>
      <c r="D122" s="9">
        <f>H142</f>
        <v>398001.72670566692</v>
      </c>
      <c r="E122" s="9">
        <f>SUM(B122:C122:D122)</f>
        <v>6935413.9923306666</v>
      </c>
    </row>
    <row r="123" spans="1:14" x14ac:dyDescent="0.2">
      <c r="A123" s="8" t="s">
        <v>38</v>
      </c>
      <c r="B123" s="9">
        <f>SUM(B121:B122)</f>
        <v>28125000</v>
      </c>
      <c r="C123" s="9">
        <f>SUM(C121:C122)</f>
        <v>5878641.3976562498</v>
      </c>
      <c r="D123" s="9">
        <f>SUM(D121:D122)</f>
        <v>756645.15575386933</v>
      </c>
      <c r="E123" s="9">
        <f>SUM(E121:E122)</f>
        <v>34760286.55341012</v>
      </c>
    </row>
    <row r="127" spans="1:14" x14ac:dyDescent="0.2">
      <c r="A127" s="174" t="s">
        <v>24</v>
      </c>
      <c r="B127" s="175"/>
      <c r="C127" s="175"/>
    </row>
    <row r="128" spans="1:14" ht="25.5" x14ac:dyDescent="0.2">
      <c r="A128" s="7" t="s">
        <v>23</v>
      </c>
      <c r="B128" s="7" t="s">
        <v>27</v>
      </c>
      <c r="C128" s="7" t="s">
        <v>26</v>
      </c>
      <c r="D128" s="7" t="s">
        <v>25</v>
      </c>
      <c r="E128" s="7" t="s">
        <v>21</v>
      </c>
      <c r="F128" s="7" t="s">
        <v>22</v>
      </c>
      <c r="G128" s="7" t="s">
        <v>35</v>
      </c>
      <c r="H128" s="7" t="s">
        <v>39</v>
      </c>
      <c r="I128" s="178" t="s">
        <v>139</v>
      </c>
      <c r="J128" s="179"/>
      <c r="K128" s="179"/>
      <c r="L128" s="179"/>
      <c r="M128" s="179"/>
      <c r="N128" s="180"/>
    </row>
    <row r="129" spans="1:15" x14ac:dyDescent="0.2">
      <c r="A129" s="8" t="s">
        <v>17</v>
      </c>
      <c r="B129" s="8"/>
      <c r="C129" s="8"/>
      <c r="D129" s="8"/>
      <c r="E129" s="8"/>
      <c r="F129" s="8"/>
      <c r="G129" s="8"/>
      <c r="H129" s="8"/>
      <c r="I129" s="7" t="s">
        <v>141</v>
      </c>
      <c r="J129" s="7" t="s">
        <v>142</v>
      </c>
      <c r="K129" s="7" t="s">
        <v>135</v>
      </c>
      <c r="L129" s="35" t="s">
        <v>136</v>
      </c>
      <c r="M129" s="35" t="s">
        <v>134</v>
      </c>
      <c r="N129" s="36" t="s">
        <v>137</v>
      </c>
    </row>
    <row r="130" spans="1:15" x14ac:dyDescent="0.2">
      <c r="A130" s="10" t="s">
        <v>13</v>
      </c>
      <c r="B130" s="10" t="s">
        <v>8</v>
      </c>
      <c r="C130" s="9">
        <v>33075000</v>
      </c>
      <c r="D130" s="73">
        <f>MIN('Variables y Resumen'!$B$12,MIN('Variables y Resumen'!$B$5,$I$3)+N130 )</f>
        <v>4.5585000000000004</v>
      </c>
      <c r="E130" s="12">
        <v>43906</v>
      </c>
      <c r="F130" s="12">
        <v>44089</v>
      </c>
      <c r="G130" s="41">
        <f>IF('Variables y Resumen'!$B$3=360,DAYS360(E130,F130),F130-E130)</f>
        <v>183</v>
      </c>
      <c r="H130" s="9">
        <f t="shared" ref="H130:H131" si="8">C130*D130%/MID($H$16,8,3)*G130</f>
        <v>766426.30312500009</v>
      </c>
      <c r="I130" s="96">
        <f>VLOOKUP(A117,Tabla_Libor,8,0)</f>
        <v>0.84375</v>
      </c>
      <c r="J130" s="95">
        <f>VLOOKUP(B117,Tabla_Libor,8,0)</f>
        <v>0.27324999999999999</v>
      </c>
      <c r="K130" s="38">
        <f>(I130+J130)/2</f>
        <v>0.5585</v>
      </c>
      <c r="L130" s="51">
        <v>0.73800000000000043</v>
      </c>
      <c r="M130" s="51">
        <f>MIN(I130:L130)</f>
        <v>0.27324999999999999</v>
      </c>
      <c r="N130" s="37">
        <f>HLOOKUP(Selección_Libor,I129:M130,2,0)</f>
        <v>0.5585</v>
      </c>
    </row>
    <row r="131" spans="1:15" x14ac:dyDescent="0.2">
      <c r="A131" s="10" t="s">
        <v>13</v>
      </c>
      <c r="B131" s="10" t="s">
        <v>8</v>
      </c>
      <c r="C131" s="9">
        <v>6300000</v>
      </c>
      <c r="D131" s="73">
        <f>D130</f>
        <v>4.5585000000000004</v>
      </c>
      <c r="E131" s="12">
        <v>43906</v>
      </c>
      <c r="F131" s="12">
        <v>44089</v>
      </c>
      <c r="G131" s="41">
        <f>IF('Variables y Resumen'!$B$3=360,DAYS360(E131,F131),F131-E131)</f>
        <v>183</v>
      </c>
      <c r="H131" s="9">
        <f t="shared" si="8"/>
        <v>145985.96250000002</v>
      </c>
      <c r="I131" s="98"/>
      <c r="J131" s="98"/>
      <c r="K131" s="98"/>
    </row>
    <row r="132" spans="1:15" x14ac:dyDescent="0.2">
      <c r="A132" s="8" t="s">
        <v>1</v>
      </c>
      <c r="B132" s="8" t="s">
        <v>2</v>
      </c>
      <c r="C132" s="8" t="s">
        <v>2</v>
      </c>
      <c r="D132" s="8" t="s">
        <v>2</v>
      </c>
      <c r="E132" s="8" t="s">
        <v>2</v>
      </c>
      <c r="F132" s="8" t="s">
        <v>2</v>
      </c>
      <c r="G132" s="8" t="s">
        <v>2</v>
      </c>
      <c r="H132" s="13">
        <f>SUM(H130:H131)</f>
        <v>912412.26562500012</v>
      </c>
      <c r="I132" s="99"/>
      <c r="J132" s="99"/>
      <c r="K132" s="99"/>
    </row>
    <row r="133" spans="1:15" x14ac:dyDescent="0.2">
      <c r="D133" s="107"/>
    </row>
    <row r="134" spans="1:15" x14ac:dyDescent="0.2">
      <c r="D134" s="107"/>
    </row>
    <row r="135" spans="1:15" ht="25.5" x14ac:dyDescent="0.2">
      <c r="A135" s="7" t="s">
        <v>23</v>
      </c>
      <c r="B135" s="7" t="s">
        <v>27</v>
      </c>
      <c r="C135" s="7" t="s">
        <v>26</v>
      </c>
      <c r="D135" s="7" t="s">
        <v>25</v>
      </c>
      <c r="E135" s="7" t="s">
        <v>21</v>
      </c>
      <c r="F135" s="7" t="s">
        <v>22</v>
      </c>
      <c r="G135" s="7" t="s">
        <v>35</v>
      </c>
      <c r="H135" s="7" t="s">
        <v>39</v>
      </c>
      <c r="I135" s="92"/>
      <c r="J135" s="92"/>
      <c r="K135" s="92"/>
    </row>
    <row r="136" spans="1:15" x14ac:dyDescent="0.2">
      <c r="A136" s="8" t="s">
        <v>20</v>
      </c>
      <c r="B136" s="8"/>
      <c r="C136" s="8"/>
      <c r="D136" s="8"/>
      <c r="E136" s="8"/>
      <c r="F136" s="8"/>
      <c r="G136" s="8"/>
      <c r="H136" s="8"/>
      <c r="I136" s="100"/>
      <c r="J136" s="100"/>
      <c r="K136" s="100"/>
    </row>
    <row r="137" spans="1:15" x14ac:dyDescent="0.2">
      <c r="A137" s="10" t="s">
        <v>29</v>
      </c>
      <c r="B137" s="10" t="s">
        <v>28</v>
      </c>
      <c r="C137" s="9">
        <f>B121</f>
        <v>22500000</v>
      </c>
      <c r="D137" s="73">
        <f>MIN('Variables y Resumen'!$B$7,'Variables y Resumen'!$B$12-D130)</f>
        <v>1.9414999999999996</v>
      </c>
      <c r="E137" s="12">
        <v>43906</v>
      </c>
      <c r="F137" s="12">
        <v>44089</v>
      </c>
      <c r="G137" s="41">
        <f>IF('Variables y Resumen'!$B$3=360,DAYS360(E137,F137),F137-E137)</f>
        <v>183</v>
      </c>
      <c r="H137" s="9">
        <f t="shared" ref="H137" si="9">C137*D137%/MID($H$16,8,3)*G137</f>
        <v>222059.06249999997</v>
      </c>
      <c r="I137" s="98"/>
      <c r="J137" s="98"/>
      <c r="K137" s="98"/>
      <c r="N137" s="42"/>
      <c r="O137" s="104"/>
    </row>
    <row r="138" spans="1:15" x14ac:dyDescent="0.2">
      <c r="A138" s="10" t="s">
        <v>30</v>
      </c>
      <c r="B138" s="10" t="s">
        <v>28</v>
      </c>
      <c r="C138" s="9">
        <f>C121</f>
        <v>4966229.1320312498</v>
      </c>
      <c r="D138" s="73">
        <f>MIN(D130+'Variables y Resumen'!$B$7,'Variables y Resumen'!$B$12)</f>
        <v>6.5</v>
      </c>
      <c r="E138" s="12">
        <v>43906</v>
      </c>
      <c r="F138" s="12">
        <v>44089</v>
      </c>
      <c r="G138" s="41">
        <f>IF('Variables y Resumen'!$B$3=360,DAYS360(E138,F138),F138-E138)</f>
        <v>183</v>
      </c>
      <c r="H138" s="48">
        <f>IF('Variables y Resumen'!$B$11="SI",C138*D138%/MID($H$16,8,3)*G138,0)</f>
        <v>164092.48757086589</v>
      </c>
      <c r="I138" s="90"/>
      <c r="J138" s="90"/>
      <c r="K138" s="90"/>
      <c r="N138" s="42"/>
      <c r="O138" s="104"/>
    </row>
    <row r="139" spans="1:15" x14ac:dyDescent="0.2">
      <c r="A139" s="10" t="s">
        <v>30</v>
      </c>
      <c r="B139" s="10" t="s">
        <v>28</v>
      </c>
      <c r="C139" s="9">
        <f>D121</f>
        <v>358643.42904820247</v>
      </c>
      <c r="D139" s="73">
        <f>D138</f>
        <v>6.5</v>
      </c>
      <c r="E139" s="12">
        <v>43906</v>
      </c>
      <c r="F139" s="12">
        <v>44089</v>
      </c>
      <c r="G139" s="41">
        <f>IF('Variables y Resumen'!$B$3=360,DAYS360(E139,F139),F139-E139)</f>
        <v>183</v>
      </c>
      <c r="H139" s="48">
        <f>IF('Variables y Resumen'!$B$11="SI",C139*D139%/MID($H$16,8,3)*G139,0)</f>
        <v>11850.176634801024</v>
      </c>
      <c r="I139" s="90"/>
      <c r="J139" s="90"/>
      <c r="K139" s="90"/>
      <c r="N139" s="105"/>
      <c r="O139" s="104"/>
    </row>
    <row r="140" spans="1:15" x14ac:dyDescent="0.2">
      <c r="A140" s="10"/>
      <c r="B140" s="10"/>
      <c r="C140" s="9"/>
      <c r="D140" s="11"/>
      <c r="E140" s="12"/>
      <c r="F140" s="12"/>
      <c r="G140" s="101"/>
      <c r="H140" s="9"/>
      <c r="I140" s="98"/>
      <c r="J140" s="98"/>
      <c r="K140" s="98"/>
      <c r="N140" s="42"/>
      <c r="O140" s="42"/>
    </row>
    <row r="141" spans="1:15" x14ac:dyDescent="0.2">
      <c r="A141" s="10"/>
      <c r="B141" s="10"/>
      <c r="C141" s="9"/>
      <c r="D141" s="11"/>
      <c r="E141" s="12"/>
      <c r="F141" s="12"/>
      <c r="G141" s="101"/>
      <c r="H141" s="9"/>
      <c r="I141" s="98"/>
      <c r="J141" s="98"/>
      <c r="K141" s="98"/>
      <c r="N141" s="42"/>
      <c r="O141" s="42"/>
    </row>
    <row r="142" spans="1:15" x14ac:dyDescent="0.2">
      <c r="A142" s="8" t="s">
        <v>1</v>
      </c>
      <c r="B142" s="8" t="s">
        <v>2</v>
      </c>
      <c r="C142" s="8" t="s">
        <v>2</v>
      </c>
      <c r="D142" s="8" t="s">
        <v>2</v>
      </c>
      <c r="E142" s="8" t="s">
        <v>2</v>
      </c>
      <c r="F142" s="8" t="s">
        <v>2</v>
      </c>
      <c r="G142" s="8" t="s">
        <v>2</v>
      </c>
      <c r="H142" s="13">
        <f>SUM(H137:H137:H138:H139:H140:H141)</f>
        <v>398001.72670566692</v>
      </c>
      <c r="I142" s="99"/>
      <c r="J142" s="99"/>
      <c r="K142" s="99"/>
      <c r="N142" s="105"/>
      <c r="O142" s="105"/>
    </row>
    <row r="143" spans="1:15" x14ac:dyDescent="0.2">
      <c r="N143" s="104"/>
      <c r="O143" s="104"/>
    </row>
    <row r="145" spans="1:14" ht="15" x14ac:dyDescent="0.2">
      <c r="A145" s="34">
        <f>B117</f>
        <v>44089</v>
      </c>
      <c r="B145" s="34">
        <v>44231</v>
      </c>
      <c r="C145" s="5"/>
      <c r="D145" s="5"/>
      <c r="E145" s="5"/>
      <c r="F145" s="5"/>
      <c r="G145" s="5"/>
      <c r="H145" s="5"/>
      <c r="I145" s="5"/>
      <c r="J145" s="5"/>
      <c r="K145" s="5"/>
    </row>
    <row r="147" spans="1:14" x14ac:dyDescent="0.2">
      <c r="A147" s="176" t="s">
        <v>34</v>
      </c>
      <c r="B147" s="175"/>
      <c r="C147" s="175"/>
      <c r="D147" s="175"/>
      <c r="E147" s="175"/>
    </row>
    <row r="148" spans="1:14" ht="25.5" x14ac:dyDescent="0.2">
      <c r="A148" s="7" t="s">
        <v>23</v>
      </c>
      <c r="B148" s="7" t="s">
        <v>16</v>
      </c>
      <c r="C148" s="7" t="s">
        <v>17</v>
      </c>
      <c r="D148" s="7" t="s">
        <v>63</v>
      </c>
      <c r="E148" s="7" t="s">
        <v>1</v>
      </c>
    </row>
    <row r="149" spans="1:14" x14ac:dyDescent="0.2">
      <c r="A149" s="8" t="s">
        <v>36</v>
      </c>
      <c r="B149" s="9">
        <f>B123</f>
        <v>28125000</v>
      </c>
      <c r="C149" s="9">
        <f>C123</f>
        <v>5878641.3976562498</v>
      </c>
      <c r="D149" s="9">
        <f>D123</f>
        <v>756645.15575386933</v>
      </c>
      <c r="E149" s="9">
        <f>SUM(B149:C149:D149)</f>
        <v>34760286.553410113</v>
      </c>
    </row>
    <row r="150" spans="1:14" x14ac:dyDescent="0.2">
      <c r="A150" s="8" t="s">
        <v>37</v>
      </c>
      <c r="B150" s="18">
        <v>11250000</v>
      </c>
      <c r="C150" s="9">
        <f>H160</f>
        <v>659748.08593749988</v>
      </c>
      <c r="D150" s="9">
        <f>H170</f>
        <v>385397.62828983297</v>
      </c>
      <c r="E150" s="9">
        <f>SUM(B150:C150:D150)</f>
        <v>12295145.714227334</v>
      </c>
    </row>
    <row r="151" spans="1:14" x14ac:dyDescent="0.2">
      <c r="A151" s="8" t="s">
        <v>38</v>
      </c>
      <c r="B151" s="9">
        <f>SUM(B149:B150)</f>
        <v>39375000</v>
      </c>
      <c r="C151" s="9">
        <f>SUM(C149:C150)</f>
        <v>6538389.4835937498</v>
      </c>
      <c r="D151" s="9">
        <f>SUM(D149:D150)</f>
        <v>1142042.7840437023</v>
      </c>
      <c r="E151" s="9">
        <f>SUM(E149:E150)</f>
        <v>47055432.267637447</v>
      </c>
    </row>
    <row r="155" spans="1:14" x14ac:dyDescent="0.2">
      <c r="A155" s="174" t="s">
        <v>24</v>
      </c>
      <c r="B155" s="175"/>
      <c r="C155" s="175"/>
    </row>
    <row r="156" spans="1:14" ht="25.5" x14ac:dyDescent="0.2">
      <c r="A156" s="7" t="s">
        <v>23</v>
      </c>
      <c r="B156" s="7" t="s">
        <v>27</v>
      </c>
      <c r="C156" s="7" t="s">
        <v>26</v>
      </c>
      <c r="D156" s="7" t="s">
        <v>25</v>
      </c>
      <c r="E156" s="7" t="s">
        <v>21</v>
      </c>
      <c r="F156" s="7" t="s">
        <v>22</v>
      </c>
      <c r="G156" s="7" t="s">
        <v>35</v>
      </c>
      <c r="H156" s="7" t="s">
        <v>39</v>
      </c>
      <c r="I156" s="178" t="s">
        <v>139</v>
      </c>
      <c r="J156" s="179"/>
      <c r="K156" s="179"/>
      <c r="L156" s="179"/>
      <c r="M156" s="179"/>
      <c r="N156" s="180"/>
    </row>
    <row r="157" spans="1:14" x14ac:dyDescent="0.2">
      <c r="A157" s="8" t="s">
        <v>17</v>
      </c>
      <c r="B157" s="8"/>
      <c r="C157" s="8"/>
      <c r="D157" s="8"/>
      <c r="E157" s="8"/>
      <c r="F157" s="8"/>
      <c r="G157" s="8"/>
      <c r="H157" s="8"/>
      <c r="I157" s="7" t="s">
        <v>141</v>
      </c>
      <c r="J157" s="7" t="s">
        <v>142</v>
      </c>
      <c r="K157" s="7" t="s">
        <v>135</v>
      </c>
      <c r="L157" s="35" t="s">
        <v>136</v>
      </c>
      <c r="M157" s="35" t="s">
        <v>134</v>
      </c>
      <c r="N157" s="36" t="s">
        <v>137</v>
      </c>
    </row>
    <row r="158" spans="1:14" x14ac:dyDescent="0.2">
      <c r="A158" s="10" t="s">
        <v>13</v>
      </c>
      <c r="B158" s="10" t="s">
        <v>8</v>
      </c>
      <c r="C158" s="9">
        <v>33075000</v>
      </c>
      <c r="D158" s="73">
        <f>MIN('Variables y Resumen'!$B$12,MIN('Variables y Resumen'!$B$5,$I$3)+N158 )</f>
        <v>4.2478749999999996</v>
      </c>
      <c r="E158" s="12">
        <v>44089</v>
      </c>
      <c r="F158" s="4">
        <f>B145</f>
        <v>44231</v>
      </c>
      <c r="G158" s="41">
        <f>IF('Variables y Resumen'!$B$3=360,DAYS360(E158,F158),F158-E158)</f>
        <v>142</v>
      </c>
      <c r="H158" s="9">
        <f t="shared" ref="H158:H159" si="10">C158*D158%/MID($H$16,8,3)*G158</f>
        <v>554188.39218749991</v>
      </c>
      <c r="I158" s="96">
        <f>VLOOKUP(A145,Tabla_Libor,8,0)</f>
        <v>0.27324999999999999</v>
      </c>
      <c r="J158" s="95">
        <f>VLOOKUP(B145,Tabla_Libor,8,0)</f>
        <v>0.2225</v>
      </c>
      <c r="K158" s="38">
        <f>(I158+J158)/2</f>
        <v>0.24787500000000001</v>
      </c>
      <c r="L158" s="51">
        <v>0.28200000000000003</v>
      </c>
      <c r="M158" s="51">
        <f>MIN(I158:L158)</f>
        <v>0.2225</v>
      </c>
      <c r="N158" s="37">
        <f>HLOOKUP(Selección_Libor,I157:M158,2,0)</f>
        <v>0.24787500000000001</v>
      </c>
    </row>
    <row r="159" spans="1:14" x14ac:dyDescent="0.2">
      <c r="A159" s="10" t="s">
        <v>13</v>
      </c>
      <c r="B159" s="10" t="s">
        <v>8</v>
      </c>
      <c r="C159" s="9">
        <v>6300000</v>
      </c>
      <c r="D159" s="73">
        <f>D158</f>
        <v>4.2478749999999996</v>
      </c>
      <c r="E159" s="12">
        <f>E158</f>
        <v>44089</v>
      </c>
      <c r="F159" s="12">
        <f>F158</f>
        <v>44231</v>
      </c>
      <c r="G159" s="41">
        <f>IF('Variables y Resumen'!$B$3=360,DAYS360(E159,F159),F159-E159)</f>
        <v>142</v>
      </c>
      <c r="H159" s="9">
        <f t="shared" si="10"/>
        <v>105559.69374999999</v>
      </c>
      <c r="I159" s="98"/>
      <c r="J159" s="98"/>
      <c r="K159" s="98"/>
    </row>
    <row r="160" spans="1:14" x14ac:dyDescent="0.2">
      <c r="A160" s="8" t="s">
        <v>1</v>
      </c>
      <c r="B160" s="8" t="s">
        <v>2</v>
      </c>
      <c r="C160" s="8" t="s">
        <v>2</v>
      </c>
      <c r="D160" s="8" t="s">
        <v>2</v>
      </c>
      <c r="E160" s="8" t="s">
        <v>2</v>
      </c>
      <c r="F160" s="8" t="s">
        <v>2</v>
      </c>
      <c r="G160" s="8" t="s">
        <v>2</v>
      </c>
      <c r="H160" s="13">
        <f>SUM(H158:H159)</f>
        <v>659748.08593749988</v>
      </c>
      <c r="I160" s="99"/>
      <c r="J160" s="99"/>
      <c r="K160" s="99"/>
    </row>
    <row r="161" spans="1:11" x14ac:dyDescent="0.2">
      <c r="D161" s="107"/>
    </row>
    <row r="162" spans="1:11" x14ac:dyDescent="0.2">
      <c r="D162" s="107"/>
    </row>
    <row r="163" spans="1:11" ht="25.5" x14ac:dyDescent="0.2">
      <c r="A163" s="7" t="s">
        <v>23</v>
      </c>
      <c r="B163" s="7" t="s">
        <v>27</v>
      </c>
      <c r="C163" s="7" t="s">
        <v>26</v>
      </c>
      <c r="D163" s="7" t="s">
        <v>25</v>
      </c>
      <c r="E163" s="7" t="s">
        <v>21</v>
      </c>
      <c r="F163" s="7" t="s">
        <v>22</v>
      </c>
      <c r="G163" s="7" t="s">
        <v>35</v>
      </c>
      <c r="H163" s="7" t="s">
        <v>39</v>
      </c>
      <c r="I163" s="92"/>
      <c r="J163" s="92"/>
      <c r="K163" s="92"/>
    </row>
    <row r="164" spans="1:11" x14ac:dyDescent="0.2">
      <c r="A164" s="8" t="s">
        <v>20</v>
      </c>
      <c r="B164" s="8"/>
      <c r="C164" s="8"/>
      <c r="D164" s="8"/>
      <c r="E164" s="8"/>
      <c r="F164" s="8"/>
      <c r="G164" s="8"/>
      <c r="H164" s="8"/>
      <c r="I164" s="100"/>
      <c r="J164" s="100"/>
      <c r="K164" s="100"/>
    </row>
    <row r="165" spans="1:11" x14ac:dyDescent="0.2">
      <c r="A165" s="10" t="s">
        <v>29</v>
      </c>
      <c r="B165" s="10" t="s">
        <v>28</v>
      </c>
      <c r="C165" s="9">
        <f>B149</f>
        <v>28125000</v>
      </c>
      <c r="D165" s="73">
        <f>MIN('Variables y Resumen'!$B$7,'Variables y Resumen'!$B$12-D158)</f>
        <v>2</v>
      </c>
      <c r="E165" s="12">
        <f>E159</f>
        <v>44089</v>
      </c>
      <c r="F165" s="12">
        <f>F159</f>
        <v>44231</v>
      </c>
      <c r="G165" s="41">
        <f>IF('Variables y Resumen'!$B$3=360,DAYS360(E165,F165),F165-E165)</f>
        <v>142</v>
      </c>
      <c r="H165" s="9">
        <f t="shared" ref="H165" si="11">C165*D165%/MID($H$16,8,3)*G165</f>
        <v>221875</v>
      </c>
      <c r="I165" s="98"/>
      <c r="J165" s="98"/>
      <c r="K165" s="98"/>
    </row>
    <row r="166" spans="1:11" x14ac:dyDescent="0.2">
      <c r="A166" s="10" t="s">
        <v>30</v>
      </c>
      <c r="B166" s="10" t="s">
        <v>28</v>
      </c>
      <c r="C166" s="9">
        <f>C149</f>
        <v>5878641.3976562498</v>
      </c>
      <c r="D166" s="73">
        <f>MIN(D158+'Variables y Resumen'!$B$7,'Variables y Resumen'!$B$12)</f>
        <v>6.2478749999999996</v>
      </c>
      <c r="E166" s="12">
        <f>E159</f>
        <v>44089</v>
      </c>
      <c r="F166" s="12">
        <f>F159</f>
        <v>44231</v>
      </c>
      <c r="G166" s="41">
        <f>IF('Variables y Resumen'!$B$3=360,DAYS360(E166,F166),F166-E166)</f>
        <v>142</v>
      </c>
      <c r="H166" s="48">
        <f>IF('Variables y Resumen'!$B$11="SI",C166*D166%/MID($H$16,8,3)*G166,0)</f>
        <v>144875.56556606051</v>
      </c>
      <c r="I166" s="90"/>
      <c r="J166" s="90"/>
      <c r="K166" s="90"/>
    </row>
    <row r="167" spans="1:11" x14ac:dyDescent="0.2">
      <c r="A167" s="10" t="s">
        <v>30</v>
      </c>
      <c r="B167" s="10" t="s">
        <v>28</v>
      </c>
      <c r="C167" s="9">
        <f>D149</f>
        <v>756645.15575386933</v>
      </c>
      <c r="D167" s="73">
        <f>D166</f>
        <v>6.2478749999999996</v>
      </c>
      <c r="E167" s="12">
        <f>E159</f>
        <v>44089</v>
      </c>
      <c r="F167" s="12">
        <f>F159</f>
        <v>44231</v>
      </c>
      <c r="G167" s="41">
        <f>IF('Variables y Resumen'!$B$3=360,DAYS360(E167,F167),F167-E167)</f>
        <v>142</v>
      </c>
      <c r="H167" s="48">
        <f>IF('Variables y Resumen'!$B$11="SI",C167*D167%/MID($H$16,8,3)*G167,0)</f>
        <v>18647.062723772509</v>
      </c>
      <c r="I167" s="90"/>
      <c r="J167" s="90"/>
      <c r="K167" s="90"/>
    </row>
    <row r="168" spans="1:11" hidden="1" x14ac:dyDescent="0.2">
      <c r="A168" s="10"/>
      <c r="B168" s="10"/>
      <c r="C168" s="9"/>
      <c r="D168" s="11"/>
      <c r="E168" s="12"/>
      <c r="F168" s="12"/>
      <c r="G168" s="101"/>
      <c r="H168" s="9"/>
      <c r="I168" s="98"/>
      <c r="J168" s="98"/>
      <c r="K168" s="98"/>
    </row>
    <row r="169" spans="1:11" hidden="1" x14ac:dyDescent="0.2">
      <c r="A169" s="10"/>
      <c r="B169" s="10"/>
      <c r="C169" s="9"/>
      <c r="D169" s="11"/>
      <c r="E169" s="12"/>
      <c r="F169" s="12"/>
      <c r="G169" s="101"/>
      <c r="H169" s="9"/>
      <c r="I169" s="98"/>
      <c r="J169" s="98"/>
      <c r="K169" s="98"/>
    </row>
    <row r="170" spans="1:11" x14ac:dyDescent="0.2">
      <c r="A170" s="8" t="s">
        <v>1</v>
      </c>
      <c r="B170" s="8" t="s">
        <v>2</v>
      </c>
      <c r="C170" s="8" t="s">
        <v>2</v>
      </c>
      <c r="D170" s="8" t="s">
        <v>2</v>
      </c>
      <c r="E170" s="8" t="s">
        <v>2</v>
      </c>
      <c r="F170" s="8" t="s">
        <v>2</v>
      </c>
      <c r="G170" s="8" t="s">
        <v>2</v>
      </c>
      <c r="H170" s="13">
        <f>SUM(H165:H165:H166:H167:H168:H169)</f>
        <v>385397.62828983297</v>
      </c>
      <c r="I170" s="99"/>
      <c r="J170" s="99"/>
      <c r="K170" s="99"/>
    </row>
    <row r="173" spans="1:11" ht="15" x14ac:dyDescent="0.2">
      <c r="A173" s="34">
        <f>B145</f>
        <v>44231</v>
      </c>
      <c r="B173" s="34">
        <v>44270</v>
      </c>
      <c r="C173" s="5"/>
      <c r="D173" s="5"/>
      <c r="E173" s="5"/>
      <c r="F173" s="5"/>
      <c r="G173" s="5"/>
      <c r="H173" s="5"/>
      <c r="I173" s="5"/>
      <c r="J173" s="5"/>
      <c r="K173" s="5"/>
    </row>
    <row r="175" spans="1:11" x14ac:dyDescent="0.2">
      <c r="A175" s="176" t="s">
        <v>34</v>
      </c>
      <c r="B175" s="175"/>
      <c r="C175" s="175"/>
      <c r="D175" s="175"/>
      <c r="E175" s="175"/>
    </row>
    <row r="176" spans="1:11" ht="25.5" x14ac:dyDescent="0.2">
      <c r="A176" s="7" t="s">
        <v>23</v>
      </c>
      <c r="B176" s="7" t="s">
        <v>16</v>
      </c>
      <c r="C176" s="7" t="s">
        <v>17</v>
      </c>
      <c r="D176" s="7" t="s">
        <v>63</v>
      </c>
      <c r="E176" s="7" t="s">
        <v>1</v>
      </c>
    </row>
    <row r="177" spans="1:14" x14ac:dyDescent="0.2">
      <c r="A177" s="8" t="s">
        <v>36</v>
      </c>
      <c r="B177" s="9">
        <f>B151</f>
        <v>39375000</v>
      </c>
      <c r="C177" s="9">
        <f t="shared" ref="C177:D177" si="12">C151</f>
        <v>6538389.4835937498</v>
      </c>
      <c r="D177" s="9">
        <f t="shared" si="12"/>
        <v>1142042.7840437023</v>
      </c>
      <c r="E177" s="9">
        <f>SUM(B177:C177:D177)</f>
        <v>47055432.267637447</v>
      </c>
    </row>
    <row r="178" spans="1:14" x14ac:dyDescent="0.2">
      <c r="A178" s="8" t="s">
        <v>37</v>
      </c>
      <c r="B178" s="9">
        <v>0</v>
      </c>
      <c r="C178" s="9">
        <f>H188</f>
        <v>179582.8125</v>
      </c>
      <c r="D178" s="9">
        <f>H198</f>
        <v>136982.60808053095</v>
      </c>
      <c r="E178" s="9">
        <f>SUM(B178:C178:D178)</f>
        <v>316565.42058053095</v>
      </c>
    </row>
    <row r="179" spans="1:14" x14ac:dyDescent="0.2">
      <c r="A179" s="8" t="s">
        <v>38</v>
      </c>
      <c r="B179" s="9">
        <f>SUM(B177:B178)</f>
        <v>39375000</v>
      </c>
      <c r="C179" s="9">
        <f>SUM(C177:C178)</f>
        <v>6717972.2960937498</v>
      </c>
      <c r="D179" s="9">
        <f>SUM(D177:D178)</f>
        <v>1279025.3921242333</v>
      </c>
      <c r="E179" s="9">
        <f>SUM(E177:E178)</f>
        <v>47371997.688217975</v>
      </c>
    </row>
    <row r="183" spans="1:14" x14ac:dyDescent="0.2">
      <c r="A183" s="174" t="s">
        <v>24</v>
      </c>
      <c r="B183" s="175"/>
      <c r="C183" s="175"/>
    </row>
    <row r="184" spans="1:14" ht="25.5" x14ac:dyDescent="0.2">
      <c r="A184" s="7" t="s">
        <v>23</v>
      </c>
      <c r="B184" s="7" t="s">
        <v>27</v>
      </c>
      <c r="C184" s="7" t="s">
        <v>26</v>
      </c>
      <c r="D184" s="7" t="s">
        <v>25</v>
      </c>
      <c r="E184" s="7" t="s">
        <v>21</v>
      </c>
      <c r="F184" s="7" t="s">
        <v>22</v>
      </c>
      <c r="G184" s="7" t="s">
        <v>35</v>
      </c>
      <c r="H184" s="7" t="s">
        <v>39</v>
      </c>
      <c r="I184" s="178" t="s">
        <v>139</v>
      </c>
      <c r="J184" s="179"/>
      <c r="K184" s="179"/>
      <c r="L184" s="179"/>
      <c r="M184" s="179"/>
      <c r="N184" s="180"/>
    </row>
    <row r="185" spans="1:14" x14ac:dyDescent="0.2">
      <c r="A185" s="8" t="s">
        <v>17</v>
      </c>
      <c r="B185" s="8"/>
      <c r="C185" s="8"/>
      <c r="D185" s="8"/>
      <c r="E185" s="8"/>
      <c r="F185" s="8"/>
      <c r="G185" s="8"/>
      <c r="H185" s="8"/>
      <c r="I185" s="7" t="s">
        <v>141</v>
      </c>
      <c r="J185" s="7" t="s">
        <v>142</v>
      </c>
      <c r="K185" s="7" t="s">
        <v>135</v>
      </c>
      <c r="L185" s="35" t="s">
        <v>136</v>
      </c>
      <c r="M185" s="35" t="s">
        <v>134</v>
      </c>
      <c r="N185" s="36" t="s">
        <v>137</v>
      </c>
    </row>
    <row r="186" spans="1:14" x14ac:dyDescent="0.2">
      <c r="A186" s="10" t="s">
        <v>13</v>
      </c>
      <c r="B186" s="10" t="s">
        <v>8</v>
      </c>
      <c r="C186" s="9">
        <v>33075000</v>
      </c>
      <c r="D186" s="73">
        <f>MIN('Variables y Resumen'!$B$12,MIN('Variables y Resumen'!$B$5,$I$3)+N186 )</f>
        <v>4.21</v>
      </c>
      <c r="E186" s="12">
        <f>A173</f>
        <v>44231</v>
      </c>
      <c r="F186" s="12">
        <f>B173</f>
        <v>44270</v>
      </c>
      <c r="G186" s="41">
        <f>IF('Variables y Resumen'!$B$3=360,DAYS360(E186,F186),F186-E186)</f>
        <v>39</v>
      </c>
      <c r="H186" s="9">
        <f t="shared" ref="H186:H187" si="13">C186*D186%/MID($H$16,8,3)*G186</f>
        <v>150849.5625</v>
      </c>
      <c r="I186" s="96">
        <f>VLOOKUP(A173,Tabla_Libor,8,0)</f>
        <v>0.2225</v>
      </c>
      <c r="J186" s="95">
        <f>VLOOKUP(B173,Tabla_Libor,8,0)</f>
        <v>0.19750000000000001</v>
      </c>
      <c r="K186" s="38">
        <f>(I186+J186)/2</f>
        <v>0.21000000000000002</v>
      </c>
      <c r="L186" s="51">
        <v>0.28200000000000003</v>
      </c>
      <c r="M186" s="51">
        <f>MIN(I186:L186)</f>
        <v>0.19750000000000001</v>
      </c>
      <c r="N186" s="37">
        <f>HLOOKUP(Selección_Libor,I185:M186,2,0)</f>
        <v>0.21000000000000002</v>
      </c>
    </row>
    <row r="187" spans="1:14" x14ac:dyDescent="0.2">
      <c r="A187" s="10" t="s">
        <v>13</v>
      </c>
      <c r="B187" s="10" t="s">
        <v>8</v>
      </c>
      <c r="C187" s="9">
        <v>6300000</v>
      </c>
      <c r="D187" s="73">
        <f>D186</f>
        <v>4.21</v>
      </c>
      <c r="E187" s="12">
        <f>E186</f>
        <v>44231</v>
      </c>
      <c r="F187" s="12">
        <f>F186</f>
        <v>44270</v>
      </c>
      <c r="G187" s="41">
        <f>IF('Variables y Resumen'!$B$3=360,DAYS360(E187,F187),F187-E187)</f>
        <v>39</v>
      </c>
      <c r="H187" s="9">
        <f t="shared" si="13"/>
        <v>28733.25</v>
      </c>
      <c r="I187" s="98"/>
      <c r="J187" s="98"/>
      <c r="K187" s="98"/>
    </row>
    <row r="188" spans="1:14" x14ac:dyDescent="0.2">
      <c r="A188" s="8" t="s">
        <v>1</v>
      </c>
      <c r="B188" s="8" t="s">
        <v>2</v>
      </c>
      <c r="C188" s="8" t="s">
        <v>2</v>
      </c>
      <c r="D188" s="8" t="s">
        <v>2</v>
      </c>
      <c r="E188" s="8" t="s">
        <v>2</v>
      </c>
      <c r="F188" s="8" t="s">
        <v>2</v>
      </c>
      <c r="G188" s="8" t="s">
        <v>2</v>
      </c>
      <c r="H188" s="13">
        <f>SUM(H186:H187)</f>
        <v>179582.8125</v>
      </c>
      <c r="I188" s="99"/>
      <c r="J188" s="99"/>
      <c r="K188" s="99"/>
    </row>
    <row r="189" spans="1:14" x14ac:dyDescent="0.2">
      <c r="D189" s="107"/>
    </row>
    <row r="190" spans="1:14" x14ac:dyDescent="0.2">
      <c r="D190" s="107"/>
    </row>
    <row r="191" spans="1:14" ht="25.5" x14ac:dyDescent="0.2">
      <c r="A191" s="7" t="s">
        <v>23</v>
      </c>
      <c r="B191" s="7" t="s">
        <v>27</v>
      </c>
      <c r="C191" s="7" t="s">
        <v>26</v>
      </c>
      <c r="D191" s="7" t="s">
        <v>25</v>
      </c>
      <c r="E191" s="7" t="s">
        <v>21</v>
      </c>
      <c r="F191" s="7" t="s">
        <v>22</v>
      </c>
      <c r="G191" s="7" t="s">
        <v>35</v>
      </c>
      <c r="H191" s="7" t="s">
        <v>39</v>
      </c>
      <c r="I191" s="92"/>
      <c r="J191" s="92"/>
      <c r="K191" s="92"/>
    </row>
    <row r="192" spans="1:14" x14ac:dyDescent="0.2">
      <c r="A192" s="8" t="s">
        <v>20</v>
      </c>
      <c r="B192" s="8"/>
      <c r="C192" s="8"/>
      <c r="D192" s="8"/>
      <c r="E192" s="8"/>
      <c r="F192" s="8"/>
      <c r="G192" s="8"/>
      <c r="H192" s="8"/>
      <c r="I192" s="100"/>
      <c r="J192" s="100"/>
      <c r="K192" s="100"/>
    </row>
    <row r="193" spans="1:11" x14ac:dyDescent="0.2">
      <c r="A193" s="10" t="s">
        <v>29</v>
      </c>
      <c r="B193" s="10" t="s">
        <v>28</v>
      </c>
      <c r="C193" s="9">
        <f>B177</f>
        <v>39375000</v>
      </c>
      <c r="D193" s="73">
        <f>MIN('Variables y Resumen'!$B$7,'Variables y Resumen'!$B$12-D186)</f>
        <v>2</v>
      </c>
      <c r="E193" s="12">
        <f>E187</f>
        <v>44231</v>
      </c>
      <c r="F193" s="12">
        <f>F187</f>
        <v>44270</v>
      </c>
      <c r="G193" s="41">
        <f>IF('Variables y Resumen'!$B$3=360,DAYS360(E193,F193),F193-E193)</f>
        <v>39</v>
      </c>
      <c r="H193" s="9">
        <f t="shared" ref="H193" si="14">C193*D193%/MID($H$16,8,3)*G193</f>
        <v>85312.5</v>
      </c>
      <c r="I193" s="98"/>
      <c r="J193" s="98"/>
      <c r="K193" s="98"/>
    </row>
    <row r="194" spans="1:11" x14ac:dyDescent="0.2">
      <c r="A194" s="10" t="s">
        <v>30</v>
      </c>
      <c r="B194" s="10" t="s">
        <v>28</v>
      </c>
      <c r="C194" s="9">
        <f>C177</f>
        <v>6538389.4835937498</v>
      </c>
      <c r="D194" s="73">
        <f>MIN(D186+'Variables y Resumen'!$B$7,'Variables y Resumen'!$B$12)</f>
        <v>6.21</v>
      </c>
      <c r="E194" s="12">
        <f>E187</f>
        <v>44231</v>
      </c>
      <c r="F194" s="12">
        <f>F187</f>
        <v>44270</v>
      </c>
      <c r="G194" s="41">
        <f>IF('Variables y Resumen'!$B$3=360,DAYS360(E194,F194),F194-E194)</f>
        <v>39</v>
      </c>
      <c r="H194" s="48">
        <f>IF('Variables y Resumen'!$B$11="SI",C194*D194%/MID($H$16,8,3)*G194,0)</f>
        <v>43987.015250876946</v>
      </c>
      <c r="I194" s="90"/>
      <c r="J194" s="90"/>
      <c r="K194" s="90"/>
    </row>
    <row r="195" spans="1:11" x14ac:dyDescent="0.2">
      <c r="A195" s="10" t="s">
        <v>30</v>
      </c>
      <c r="B195" s="10" t="s">
        <v>28</v>
      </c>
      <c r="C195" s="9">
        <f>D177</f>
        <v>1142042.7840437023</v>
      </c>
      <c r="D195" s="73">
        <f>D194</f>
        <v>6.21</v>
      </c>
      <c r="E195" s="12">
        <f>E187</f>
        <v>44231</v>
      </c>
      <c r="F195" s="12">
        <f>F187</f>
        <v>44270</v>
      </c>
      <c r="G195" s="41">
        <f>IF('Variables y Resumen'!$B$3=360,DAYS360(E195,F195),F195-E195)</f>
        <v>39</v>
      </c>
      <c r="H195" s="48">
        <f>IF('Variables y Resumen'!$B$11="SI",C195*D195%/MID($H$16,8,3)*G195,0)</f>
        <v>7683.0928296540069</v>
      </c>
      <c r="I195" s="90"/>
      <c r="J195" s="90"/>
      <c r="K195" s="90"/>
    </row>
    <row r="196" spans="1:11" hidden="1" x14ac:dyDescent="0.2">
      <c r="A196" s="10"/>
      <c r="B196" s="10"/>
      <c r="C196" s="9"/>
      <c r="D196" s="11"/>
      <c r="E196" s="12"/>
      <c r="F196" s="12"/>
      <c r="G196" s="101"/>
      <c r="H196" s="9"/>
      <c r="I196" s="98"/>
      <c r="J196" s="98"/>
      <c r="K196" s="98"/>
    </row>
    <row r="197" spans="1:11" hidden="1" x14ac:dyDescent="0.2">
      <c r="A197" s="10"/>
      <c r="B197" s="10"/>
      <c r="C197" s="9"/>
      <c r="D197" s="11"/>
      <c r="E197" s="12"/>
      <c r="F197" s="12"/>
      <c r="G197" s="101"/>
      <c r="H197" s="9"/>
      <c r="I197" s="98"/>
      <c r="J197" s="98"/>
      <c r="K197" s="98"/>
    </row>
    <row r="198" spans="1:11" x14ac:dyDescent="0.2">
      <c r="A198" s="8" t="s">
        <v>1</v>
      </c>
      <c r="B198" s="8" t="s">
        <v>2</v>
      </c>
      <c r="C198" s="8" t="s">
        <v>2</v>
      </c>
      <c r="D198" s="8" t="s">
        <v>2</v>
      </c>
      <c r="E198" s="8" t="s">
        <v>2</v>
      </c>
      <c r="F198" s="8" t="s">
        <v>2</v>
      </c>
      <c r="G198" s="8" t="s">
        <v>2</v>
      </c>
      <c r="H198" s="13">
        <f>SUM(H193:H193:H194:H195:H196:H197)</f>
        <v>136982.60808053095</v>
      </c>
      <c r="I198" s="99"/>
      <c r="J198" s="99"/>
      <c r="K198" s="99"/>
    </row>
    <row r="203" spans="1:11" ht="15" x14ac:dyDescent="0.2">
      <c r="A203" s="34">
        <f>B173</f>
        <v>44270</v>
      </c>
      <c r="B203" s="34">
        <f>MIN(A203+184,'Variables y Resumen'!$B$8)</f>
        <v>44441</v>
      </c>
      <c r="C203" s="5"/>
      <c r="D203" s="5"/>
      <c r="E203" s="5"/>
      <c r="F203" s="5"/>
      <c r="G203" s="5"/>
      <c r="H203" s="5"/>
      <c r="I203" s="5"/>
      <c r="J203" s="5"/>
      <c r="K203" s="5"/>
    </row>
    <row r="205" spans="1:11" x14ac:dyDescent="0.2">
      <c r="A205" s="176" t="s">
        <v>34</v>
      </c>
      <c r="B205" s="175"/>
      <c r="C205" s="175"/>
      <c r="D205" s="175"/>
      <c r="E205" s="175"/>
    </row>
    <row r="206" spans="1:11" ht="25.5" x14ac:dyDescent="0.2">
      <c r="A206" s="7" t="s">
        <v>23</v>
      </c>
      <c r="B206" s="7" t="s">
        <v>16</v>
      </c>
      <c r="C206" s="7" t="s">
        <v>17</v>
      </c>
      <c r="D206" s="7" t="s">
        <v>63</v>
      </c>
      <c r="E206" s="7" t="s">
        <v>1</v>
      </c>
    </row>
    <row r="207" spans="1:11" x14ac:dyDescent="0.2">
      <c r="A207" s="8" t="s">
        <v>36</v>
      </c>
      <c r="B207" s="9">
        <f>B179</f>
        <v>39375000</v>
      </c>
      <c r="C207" s="9">
        <f>C179</f>
        <v>6717972.2960937498</v>
      </c>
      <c r="D207" s="9">
        <f>D179</f>
        <v>1279025.3921242333</v>
      </c>
      <c r="E207" s="9">
        <f>SUM(B207:C207:D207)</f>
        <v>47371997.688217983</v>
      </c>
    </row>
    <row r="208" spans="1:11" x14ac:dyDescent="0.2">
      <c r="A208" s="8" t="s">
        <v>37</v>
      </c>
      <c r="B208" s="9">
        <v>0</v>
      </c>
      <c r="C208" s="9">
        <f>H218</f>
        <v>780400.04765624984</v>
      </c>
      <c r="D208" s="9">
        <f>H228</f>
        <v>608531.94316803233</v>
      </c>
      <c r="E208" s="9">
        <f>SUM(B208:C208:D208)</f>
        <v>1388931.9908242822</v>
      </c>
    </row>
    <row r="209" spans="1:14" x14ac:dyDescent="0.2">
      <c r="A209" s="8" t="s">
        <v>38</v>
      </c>
      <c r="B209" s="9">
        <f>SUM(B207:B208)</f>
        <v>39375000</v>
      </c>
      <c r="C209" s="9">
        <f>SUM(C207:C208)</f>
        <v>7498372.34375</v>
      </c>
      <c r="D209" s="9">
        <f>SUM(D207:D208)</f>
        <v>1887557.3352922658</v>
      </c>
      <c r="E209" s="9">
        <f>SUM(E207:E208)</f>
        <v>48760929.679042265</v>
      </c>
    </row>
    <row r="213" spans="1:14" x14ac:dyDescent="0.2">
      <c r="A213" s="174" t="s">
        <v>24</v>
      </c>
      <c r="B213" s="175"/>
      <c r="C213" s="175"/>
    </row>
    <row r="214" spans="1:14" ht="25.5" x14ac:dyDescent="0.2">
      <c r="A214" s="7" t="s">
        <v>23</v>
      </c>
      <c r="B214" s="7" t="s">
        <v>27</v>
      </c>
      <c r="C214" s="7" t="s">
        <v>26</v>
      </c>
      <c r="D214" s="7" t="s">
        <v>25</v>
      </c>
      <c r="E214" s="7" t="s">
        <v>21</v>
      </c>
      <c r="F214" s="7" t="s">
        <v>22</v>
      </c>
      <c r="G214" s="7" t="s">
        <v>35</v>
      </c>
      <c r="H214" s="7" t="s">
        <v>39</v>
      </c>
      <c r="I214" s="178" t="s">
        <v>139</v>
      </c>
      <c r="J214" s="179"/>
      <c r="K214" s="179"/>
      <c r="L214" s="179"/>
      <c r="M214" s="179"/>
      <c r="N214" s="180"/>
    </row>
    <row r="215" spans="1:14" x14ac:dyDescent="0.2">
      <c r="A215" s="8" t="s">
        <v>17</v>
      </c>
      <c r="B215" s="8"/>
      <c r="C215" s="8"/>
      <c r="D215" s="8"/>
      <c r="E215" s="8"/>
      <c r="F215" s="8"/>
      <c r="G215" s="8"/>
      <c r="H215" s="8"/>
      <c r="I215" s="7" t="s">
        <v>141</v>
      </c>
      <c r="J215" s="7" t="s">
        <v>142</v>
      </c>
      <c r="K215" s="7" t="s">
        <v>135</v>
      </c>
      <c r="L215" s="35" t="s">
        <v>136</v>
      </c>
      <c r="M215" s="35" t="s">
        <v>134</v>
      </c>
      <c r="N215" s="36" t="s">
        <v>137</v>
      </c>
    </row>
    <row r="216" spans="1:14" x14ac:dyDescent="0.2">
      <c r="A216" s="10" t="s">
        <v>13</v>
      </c>
      <c r="B216" s="10" t="s">
        <v>8</v>
      </c>
      <c r="C216" s="9">
        <v>33075000</v>
      </c>
      <c r="D216" s="73">
        <f>MIN('Variables y Resumen'!$B$12,MIN('Variables y Resumen'!$B$5,$I$3)+N216 )</f>
        <v>4.1725649999999996</v>
      </c>
      <c r="E216" s="12">
        <f>A203</f>
        <v>44270</v>
      </c>
      <c r="F216" s="12">
        <f>B203</f>
        <v>44441</v>
      </c>
      <c r="G216" s="101">
        <f>F216-E216</f>
        <v>171</v>
      </c>
      <c r="H216" s="9">
        <f>C216*D216%/360*G216</f>
        <v>655536.04003124987</v>
      </c>
      <c r="I216" s="96">
        <f>VLOOKUP(A203,Tabla_Libor,8,0)</f>
        <v>0.19750000000000001</v>
      </c>
      <c r="J216" s="95">
        <f>VLOOKUP(B203,Tabla_Libor,8,0)</f>
        <v>0.14763000000000001</v>
      </c>
      <c r="K216" s="38">
        <f>(I216+J216)/2</f>
        <v>0.17256500000000002</v>
      </c>
      <c r="L216" s="51">
        <v>0.19299999999999962</v>
      </c>
      <c r="M216" s="51">
        <f>MIN(I216:L216)</f>
        <v>0.14763000000000001</v>
      </c>
      <c r="N216" s="37">
        <f>HLOOKUP(Selección_Libor,I215:M216,2,0)</f>
        <v>0.17256500000000002</v>
      </c>
    </row>
    <row r="217" spans="1:14" x14ac:dyDescent="0.2">
      <c r="A217" s="10" t="s">
        <v>13</v>
      </c>
      <c r="B217" s="10" t="s">
        <v>8</v>
      </c>
      <c r="C217" s="9">
        <v>6300000</v>
      </c>
      <c r="D217" s="73">
        <f>D216</f>
        <v>4.1725649999999996</v>
      </c>
      <c r="E217" s="12">
        <f>E216</f>
        <v>44270</v>
      </c>
      <c r="F217" s="12">
        <f>F216</f>
        <v>44441</v>
      </c>
      <c r="G217" s="101">
        <f>F217-E217</f>
        <v>171</v>
      </c>
      <c r="H217" s="9">
        <f>C217*D217%/360*G217</f>
        <v>124864.00762499998</v>
      </c>
      <c r="I217" s="98"/>
      <c r="J217" s="98"/>
      <c r="K217" s="98"/>
    </row>
    <row r="218" spans="1:14" x14ac:dyDescent="0.2">
      <c r="A218" s="8" t="s">
        <v>1</v>
      </c>
      <c r="B218" s="8" t="s">
        <v>2</v>
      </c>
      <c r="C218" s="8" t="s">
        <v>2</v>
      </c>
      <c r="D218" s="8" t="s">
        <v>2</v>
      </c>
      <c r="E218" s="8" t="s">
        <v>2</v>
      </c>
      <c r="F218" s="8" t="s">
        <v>2</v>
      </c>
      <c r="G218" s="8" t="s">
        <v>2</v>
      </c>
      <c r="H218" s="13">
        <f>SUM(H216:H217)</f>
        <v>780400.04765624984</v>
      </c>
      <c r="I218" s="99"/>
      <c r="J218" s="99"/>
      <c r="K218" s="99"/>
    </row>
    <row r="219" spans="1:14" x14ac:dyDescent="0.2">
      <c r="D219" s="107"/>
    </row>
    <row r="220" spans="1:14" x14ac:dyDescent="0.2">
      <c r="D220" s="107"/>
    </row>
    <row r="221" spans="1:14" ht="25.5" x14ac:dyDescent="0.2">
      <c r="A221" s="7" t="s">
        <v>23</v>
      </c>
      <c r="B221" s="7" t="s">
        <v>27</v>
      </c>
      <c r="C221" s="7" t="s">
        <v>26</v>
      </c>
      <c r="D221" s="7" t="s">
        <v>25</v>
      </c>
      <c r="E221" s="7" t="s">
        <v>21</v>
      </c>
      <c r="F221" s="7" t="s">
        <v>22</v>
      </c>
      <c r="G221" s="7" t="s">
        <v>35</v>
      </c>
      <c r="H221" s="7" t="s">
        <v>39</v>
      </c>
      <c r="I221" s="92"/>
      <c r="J221" s="92"/>
      <c r="K221" s="92"/>
    </row>
    <row r="222" spans="1:14" x14ac:dyDescent="0.2">
      <c r="A222" s="8" t="s">
        <v>20</v>
      </c>
      <c r="B222" s="8"/>
      <c r="C222" s="8"/>
      <c r="D222" s="8"/>
      <c r="E222" s="8"/>
      <c r="F222" s="8"/>
      <c r="G222" s="8"/>
      <c r="H222" s="8"/>
      <c r="I222" s="100"/>
      <c r="J222" s="100"/>
      <c r="K222" s="100"/>
    </row>
    <row r="223" spans="1:14" x14ac:dyDescent="0.2">
      <c r="A223" s="10" t="s">
        <v>29</v>
      </c>
      <c r="B223" s="10" t="s">
        <v>28</v>
      </c>
      <c r="C223" s="9">
        <f>B207</f>
        <v>39375000</v>
      </c>
      <c r="D223" s="73">
        <f>MIN('Variables y Resumen'!$B$7,'Variables y Resumen'!$B$12-D216)</f>
        <v>2</v>
      </c>
      <c r="E223" s="12">
        <f>E217</f>
        <v>44270</v>
      </c>
      <c r="F223" s="12">
        <f>F217</f>
        <v>44441</v>
      </c>
      <c r="G223" s="101">
        <f>F223-E223</f>
        <v>171</v>
      </c>
      <c r="H223" s="9">
        <f>C223*D223%/360*G223</f>
        <v>374062.5</v>
      </c>
      <c r="I223" s="98"/>
      <c r="J223" s="98"/>
      <c r="K223" s="98"/>
    </row>
    <row r="224" spans="1:14" x14ac:dyDescent="0.2">
      <c r="A224" s="10" t="s">
        <v>30</v>
      </c>
      <c r="B224" s="10" t="s">
        <v>28</v>
      </c>
      <c r="C224" s="9">
        <f>C207</f>
        <v>6717972.2960937498</v>
      </c>
      <c r="D224" s="73">
        <f>MIN(D216+'Variables y Resumen'!$B$7,'Variables y Resumen'!$B$12)</f>
        <v>6.1725649999999996</v>
      </c>
      <c r="E224" s="12">
        <f>E217</f>
        <v>44270</v>
      </c>
      <c r="F224" s="12">
        <f>F217</f>
        <v>44441</v>
      </c>
      <c r="G224" s="101">
        <f>F224-E224</f>
        <v>171</v>
      </c>
      <c r="H224" s="48">
        <f>IF('Variables y Resumen'!$B$11="SI",C224*D224%/MID($H$16,8,3)*G224,0)</f>
        <v>196968.82316273008</v>
      </c>
      <c r="I224" s="90"/>
      <c r="J224" s="90"/>
      <c r="K224" s="90"/>
    </row>
    <row r="225" spans="1:11" x14ac:dyDescent="0.2">
      <c r="A225" s="10" t="s">
        <v>30</v>
      </c>
      <c r="B225" s="10" t="s">
        <v>28</v>
      </c>
      <c r="C225" s="9">
        <f>D207</f>
        <v>1279025.3921242333</v>
      </c>
      <c r="D225" s="73">
        <f>D224</f>
        <v>6.1725649999999996</v>
      </c>
      <c r="E225" s="12">
        <f>E217</f>
        <v>44270</v>
      </c>
      <c r="F225" s="12">
        <f>F217</f>
        <v>44441</v>
      </c>
      <c r="G225" s="101">
        <f>F225-E225</f>
        <v>171</v>
      </c>
      <c r="H225" s="48">
        <f>IF('Variables y Resumen'!$B$11="SI",C225*D225%/MID($H$16,8,3)*G225,0)</f>
        <v>37500.620005302255</v>
      </c>
      <c r="I225" s="90"/>
      <c r="J225" s="90"/>
      <c r="K225" s="90"/>
    </row>
    <row r="226" spans="1:11" hidden="1" x14ac:dyDescent="0.2">
      <c r="A226" s="10"/>
      <c r="B226" s="10"/>
      <c r="C226" s="9"/>
      <c r="D226" s="11"/>
      <c r="E226" s="12"/>
      <c r="F226" s="12"/>
      <c r="G226" s="101"/>
      <c r="H226" s="9"/>
      <c r="I226" s="98"/>
      <c r="J226" s="98"/>
      <c r="K226" s="98"/>
    </row>
    <row r="227" spans="1:11" hidden="1" x14ac:dyDescent="0.2">
      <c r="A227" s="10"/>
      <c r="B227" s="10"/>
      <c r="C227" s="9"/>
      <c r="D227" s="11"/>
      <c r="E227" s="12"/>
      <c r="F227" s="12"/>
      <c r="G227" s="101"/>
      <c r="H227" s="9"/>
      <c r="I227" s="98"/>
      <c r="J227" s="98"/>
      <c r="K227" s="98"/>
    </row>
    <row r="228" spans="1:11" x14ac:dyDescent="0.2">
      <c r="A228" s="8" t="s">
        <v>1</v>
      </c>
      <c r="B228" s="8" t="s">
        <v>2</v>
      </c>
      <c r="C228" s="8" t="s">
        <v>2</v>
      </c>
      <c r="D228" s="8" t="s">
        <v>2</v>
      </c>
      <c r="E228" s="8" t="s">
        <v>2</v>
      </c>
      <c r="F228" s="8" t="s">
        <v>2</v>
      </c>
      <c r="G228" s="8" t="s">
        <v>2</v>
      </c>
      <c r="H228" s="13">
        <f>SUM(H223:H223:H224:H225:H226:H227)</f>
        <v>608531.94316803233</v>
      </c>
      <c r="I228" s="99"/>
      <c r="J228" s="99"/>
      <c r="K228" s="99"/>
    </row>
    <row r="232" spans="1:11" ht="15" x14ac:dyDescent="0.2">
      <c r="A232" s="34">
        <f>B203</f>
        <v>44441</v>
      </c>
      <c r="B232" s="70">
        <f>'Variables y Resumen'!$B$8</f>
        <v>44441</v>
      </c>
      <c r="C232" s="5"/>
      <c r="D232" s="5"/>
      <c r="E232" s="5"/>
      <c r="F232" s="5"/>
      <c r="G232" s="5"/>
      <c r="H232" s="5"/>
      <c r="I232" s="5"/>
      <c r="J232" s="5"/>
      <c r="K232" s="5"/>
    </row>
    <row r="233" spans="1:11" x14ac:dyDescent="0.2">
      <c r="A233" s="176" t="s">
        <v>34</v>
      </c>
      <c r="B233" s="175"/>
      <c r="C233" s="175"/>
      <c r="D233" s="175"/>
      <c r="E233" s="175"/>
    </row>
    <row r="234" spans="1:11" ht="25.5" x14ac:dyDescent="0.2">
      <c r="A234" s="7" t="s">
        <v>23</v>
      </c>
      <c r="B234" s="7" t="s">
        <v>16</v>
      </c>
      <c r="C234" s="7" t="s">
        <v>17</v>
      </c>
      <c r="D234" s="7" t="s">
        <v>63</v>
      </c>
      <c r="E234" s="7" t="s">
        <v>1</v>
      </c>
    </row>
    <row r="235" spans="1:11" x14ac:dyDescent="0.2">
      <c r="A235" s="8" t="s">
        <v>36</v>
      </c>
      <c r="B235" s="9">
        <f>B209</f>
        <v>39375000</v>
      </c>
      <c r="C235" s="9">
        <f>C209</f>
        <v>7498372.34375</v>
      </c>
      <c r="D235" s="9">
        <f>D209</f>
        <v>1887557.3352922658</v>
      </c>
      <c r="E235" s="9">
        <f>SUM(B235:C235:D235)</f>
        <v>48760929.679042265</v>
      </c>
    </row>
    <row r="236" spans="1:11" x14ac:dyDescent="0.2">
      <c r="A236" s="8" t="s">
        <v>37</v>
      </c>
      <c r="B236" s="9">
        <v>0</v>
      </c>
      <c r="C236" s="9">
        <f>H246</f>
        <v>0</v>
      </c>
      <c r="D236" s="9">
        <f>H256</f>
        <v>0</v>
      </c>
      <c r="E236" s="9">
        <f>SUM(B236:C236:D236)</f>
        <v>0</v>
      </c>
    </row>
    <row r="237" spans="1:11" x14ac:dyDescent="0.2">
      <c r="A237" s="8" t="s">
        <v>38</v>
      </c>
      <c r="B237" s="9">
        <f>SUM(B235:B236)</f>
        <v>39375000</v>
      </c>
      <c r="C237" s="9">
        <f>SUM(C235:C236)</f>
        <v>7498372.34375</v>
      </c>
      <c r="D237" s="9">
        <f>SUM(D235:D236)</f>
        <v>1887557.3352922658</v>
      </c>
      <c r="E237" s="9">
        <f>SUM(E235:E236)</f>
        <v>48760929.679042265</v>
      </c>
    </row>
    <row r="241" spans="1:14" x14ac:dyDescent="0.2">
      <c r="A241" s="174" t="s">
        <v>24</v>
      </c>
      <c r="B241" s="175"/>
      <c r="C241" s="175"/>
    </row>
    <row r="242" spans="1:14" ht="25.5" x14ac:dyDescent="0.2">
      <c r="A242" s="7" t="s">
        <v>23</v>
      </c>
      <c r="B242" s="7" t="s">
        <v>27</v>
      </c>
      <c r="C242" s="7" t="s">
        <v>26</v>
      </c>
      <c r="D242" s="7" t="s">
        <v>25</v>
      </c>
      <c r="E242" s="7" t="s">
        <v>21</v>
      </c>
      <c r="F242" s="7" t="s">
        <v>22</v>
      </c>
      <c r="G242" s="7" t="s">
        <v>35</v>
      </c>
      <c r="H242" s="7" t="s">
        <v>39</v>
      </c>
      <c r="I242" s="178" t="s">
        <v>139</v>
      </c>
      <c r="J242" s="179"/>
      <c r="K242" s="179"/>
      <c r="L242" s="179"/>
      <c r="M242" s="179"/>
      <c r="N242" s="180"/>
    </row>
    <row r="243" spans="1:14" x14ac:dyDescent="0.2">
      <c r="A243" s="8" t="s">
        <v>17</v>
      </c>
      <c r="B243" s="8"/>
      <c r="C243" s="8"/>
      <c r="D243" s="8"/>
      <c r="E243" s="8"/>
      <c r="F243" s="8"/>
      <c r="G243" s="8"/>
      <c r="H243" s="8"/>
      <c r="I243" s="7" t="s">
        <v>141</v>
      </c>
      <c r="J243" s="7" t="s">
        <v>142</v>
      </c>
      <c r="K243" s="7" t="s">
        <v>135</v>
      </c>
      <c r="L243" s="35" t="s">
        <v>136</v>
      </c>
      <c r="M243" s="35" t="s">
        <v>134</v>
      </c>
      <c r="N243" s="36" t="s">
        <v>137</v>
      </c>
    </row>
    <row r="244" spans="1:14" x14ac:dyDescent="0.2">
      <c r="A244" s="10" t="s">
        <v>13</v>
      </c>
      <c r="B244" s="10" t="s">
        <v>8</v>
      </c>
      <c r="C244" s="9">
        <v>33075000</v>
      </c>
      <c r="D244" s="73">
        <f>MIN('Variables y Resumen'!$B$12,MIN('Variables y Resumen'!$B$5,$I$3)+N244 )</f>
        <v>4.1476300000000004</v>
      </c>
      <c r="E244" s="12">
        <f>A232</f>
        <v>44441</v>
      </c>
      <c r="F244" s="12">
        <f>B232</f>
        <v>44441</v>
      </c>
      <c r="G244" s="101">
        <f>F244-E244</f>
        <v>0</v>
      </c>
      <c r="H244" s="9">
        <f>C244*D244%/360*G244</f>
        <v>0</v>
      </c>
      <c r="I244" s="96">
        <f>VLOOKUP(A232,Tabla_Libor,8,0)</f>
        <v>0.14763000000000001</v>
      </c>
      <c r="J244" s="96">
        <f>VLOOKUP(B232,Tabla_Libor,8,0)</f>
        <v>0.14763000000000001</v>
      </c>
      <c r="K244" s="38">
        <f>(I244+J244)/2</f>
        <v>0.14763000000000001</v>
      </c>
      <c r="L244" s="51">
        <v>0.14900000000000002</v>
      </c>
      <c r="M244" s="51">
        <f>MIN(I244:L244)</f>
        <v>0.14763000000000001</v>
      </c>
      <c r="N244" s="37">
        <f>HLOOKUP(Selección_Libor,I243:M244,2,0)</f>
        <v>0.14763000000000001</v>
      </c>
    </row>
    <row r="245" spans="1:14" x14ac:dyDescent="0.2">
      <c r="A245" s="10" t="s">
        <v>13</v>
      </c>
      <c r="B245" s="10" t="s">
        <v>8</v>
      </c>
      <c r="C245" s="9">
        <v>6300000</v>
      </c>
      <c r="D245" s="73">
        <f>D244</f>
        <v>4.1476300000000004</v>
      </c>
      <c r="E245" s="12">
        <f>E244</f>
        <v>44441</v>
      </c>
      <c r="F245" s="12">
        <f>F244</f>
        <v>44441</v>
      </c>
      <c r="G245" s="101">
        <f>F245-E245</f>
        <v>0</v>
      </c>
      <c r="H245" s="9">
        <f>C245*D245%/360*G245</f>
        <v>0</v>
      </c>
      <c r="I245" s="98"/>
      <c r="J245" s="98"/>
      <c r="K245" s="98"/>
    </row>
    <row r="246" spans="1:14" x14ac:dyDescent="0.2">
      <c r="A246" s="8" t="s">
        <v>1</v>
      </c>
      <c r="B246" s="8" t="s">
        <v>2</v>
      </c>
      <c r="C246" s="8" t="s">
        <v>2</v>
      </c>
      <c r="D246" s="8" t="s">
        <v>2</v>
      </c>
      <c r="E246" s="8" t="s">
        <v>2</v>
      </c>
      <c r="F246" s="8" t="s">
        <v>2</v>
      </c>
      <c r="G246" s="8" t="s">
        <v>2</v>
      </c>
      <c r="H246" s="13">
        <f>SUM(H244:H245)</f>
        <v>0</v>
      </c>
      <c r="I246" s="99"/>
      <c r="J246" s="99"/>
      <c r="K246" s="99"/>
    </row>
    <row r="247" spans="1:14" x14ac:dyDescent="0.2">
      <c r="D247" s="107"/>
    </row>
    <row r="248" spans="1:14" x14ac:dyDescent="0.2">
      <c r="D248" s="107"/>
    </row>
    <row r="249" spans="1:14" ht="25.5" x14ac:dyDescent="0.2">
      <c r="A249" s="7" t="s">
        <v>23</v>
      </c>
      <c r="B249" s="7" t="s">
        <v>27</v>
      </c>
      <c r="C249" s="7" t="s">
        <v>26</v>
      </c>
      <c r="D249" s="7" t="s">
        <v>25</v>
      </c>
      <c r="E249" s="7" t="s">
        <v>21</v>
      </c>
      <c r="F249" s="7" t="s">
        <v>22</v>
      </c>
      <c r="G249" s="7" t="s">
        <v>35</v>
      </c>
      <c r="H249" s="7" t="s">
        <v>39</v>
      </c>
      <c r="I249" s="92"/>
      <c r="J249" s="92"/>
      <c r="K249" s="92"/>
    </row>
    <row r="250" spans="1:14" x14ac:dyDescent="0.2">
      <c r="A250" s="8" t="s">
        <v>20</v>
      </c>
      <c r="B250" s="8"/>
      <c r="C250" s="8"/>
      <c r="D250" s="8"/>
      <c r="E250" s="8"/>
      <c r="F250" s="8"/>
      <c r="G250" s="8"/>
      <c r="H250" s="8"/>
      <c r="I250" s="100"/>
      <c r="J250" s="100"/>
      <c r="K250" s="100"/>
    </row>
    <row r="251" spans="1:14" x14ac:dyDescent="0.2">
      <c r="A251" s="10" t="s">
        <v>29</v>
      </c>
      <c r="B251" s="10" t="s">
        <v>28</v>
      </c>
      <c r="C251" s="9">
        <f>B235</f>
        <v>39375000</v>
      </c>
      <c r="D251" s="73">
        <f>MIN('Variables y Resumen'!$B$7,'Variables y Resumen'!$B$12-D244)</f>
        <v>2</v>
      </c>
      <c r="E251" s="12">
        <f>E245</f>
        <v>44441</v>
      </c>
      <c r="F251" s="12">
        <f>F245</f>
        <v>44441</v>
      </c>
      <c r="G251" s="101">
        <f>F251-E251</f>
        <v>0</v>
      </c>
      <c r="H251" s="9">
        <f>C251*D251%/360*G251</f>
        <v>0</v>
      </c>
      <c r="I251" s="98"/>
      <c r="J251" s="98"/>
      <c r="K251" s="98"/>
    </row>
    <row r="252" spans="1:14" x14ac:dyDescent="0.2">
      <c r="A252" s="10" t="s">
        <v>30</v>
      </c>
      <c r="B252" s="10" t="s">
        <v>28</v>
      </c>
      <c r="C252" s="9">
        <f>C235</f>
        <v>7498372.34375</v>
      </c>
      <c r="D252" s="73">
        <f>MIN(D244+'Variables y Resumen'!$B$7,'Variables y Resumen'!$B$12)</f>
        <v>6.1476300000000004</v>
      </c>
      <c r="E252" s="12">
        <f>E245</f>
        <v>44441</v>
      </c>
      <c r="F252" s="12">
        <f>F245</f>
        <v>44441</v>
      </c>
      <c r="G252" s="101">
        <f>F252-E252</f>
        <v>0</v>
      </c>
      <c r="H252" s="48">
        <f>IF('Variables y Resumen'!$B$11="SI",C252*D252%/MID($H$16,8,3)*G252,0)</f>
        <v>0</v>
      </c>
      <c r="I252" s="90"/>
      <c r="J252" s="90"/>
      <c r="K252" s="90"/>
    </row>
    <row r="253" spans="1:14" x14ac:dyDescent="0.2">
      <c r="A253" s="10" t="s">
        <v>30</v>
      </c>
      <c r="B253" s="10" t="s">
        <v>28</v>
      </c>
      <c r="C253" s="9">
        <f>D235</f>
        <v>1887557.3352922658</v>
      </c>
      <c r="D253" s="73">
        <f>D252</f>
        <v>6.1476300000000004</v>
      </c>
      <c r="E253" s="12">
        <f>E245</f>
        <v>44441</v>
      </c>
      <c r="F253" s="12">
        <f>F245</f>
        <v>44441</v>
      </c>
      <c r="G253" s="101">
        <f>F253-E253</f>
        <v>0</v>
      </c>
      <c r="H253" s="48">
        <f>IF('Variables y Resumen'!$B$11="SI",C253*D253%/MID($H$16,8,3)*G253,0)</f>
        <v>0</v>
      </c>
      <c r="I253" s="90"/>
      <c r="J253" s="90"/>
      <c r="K253" s="90"/>
    </row>
    <row r="254" spans="1:14" hidden="1" x14ac:dyDescent="0.2">
      <c r="A254" s="10"/>
      <c r="B254" s="10"/>
      <c r="C254" s="9"/>
      <c r="D254" s="11"/>
      <c r="E254" s="12"/>
      <c r="F254" s="12"/>
      <c r="G254" s="101"/>
      <c r="H254" s="9"/>
      <c r="I254" s="98"/>
      <c r="J254" s="98"/>
      <c r="K254" s="98"/>
    </row>
    <row r="255" spans="1:14" hidden="1" x14ac:dyDescent="0.2">
      <c r="A255" s="10"/>
      <c r="B255" s="10"/>
      <c r="C255" s="9"/>
      <c r="D255" s="11"/>
      <c r="E255" s="12"/>
      <c r="F255" s="12"/>
      <c r="G255" s="101"/>
      <c r="H255" s="9"/>
      <c r="I255" s="98"/>
      <c r="J255" s="98"/>
      <c r="K255" s="98"/>
    </row>
    <row r="256" spans="1:14" x14ac:dyDescent="0.2">
      <c r="A256" s="8" t="s">
        <v>1</v>
      </c>
      <c r="B256" s="8" t="s">
        <v>2</v>
      </c>
      <c r="C256" s="8" t="s">
        <v>2</v>
      </c>
      <c r="D256" s="8" t="s">
        <v>2</v>
      </c>
      <c r="E256" s="8" t="s">
        <v>2</v>
      </c>
      <c r="F256" s="8" t="s">
        <v>2</v>
      </c>
      <c r="G256" s="8" t="s">
        <v>2</v>
      </c>
      <c r="H256" s="13">
        <f>SUM(H251:H251:H252:H253:H254:H255)</f>
        <v>0</v>
      </c>
      <c r="I256" s="99"/>
      <c r="J256" s="99"/>
      <c r="K256" s="99"/>
    </row>
  </sheetData>
  <sheetProtection sheet="1" objects="1" scenarios="1"/>
  <mergeCells count="27">
    <mergeCell ref="I156:N156"/>
    <mergeCell ref="I184:N184"/>
    <mergeCell ref="I214:N214"/>
    <mergeCell ref="I242:N242"/>
    <mergeCell ref="I16:N16"/>
    <mergeCell ref="I45:N45"/>
    <mergeCell ref="I72:N72"/>
    <mergeCell ref="I99:N99"/>
    <mergeCell ref="I128:N128"/>
    <mergeCell ref="A233:E233"/>
    <mergeCell ref="A241:C241"/>
    <mergeCell ref="A205:E205"/>
    <mergeCell ref="A213:C213"/>
    <mergeCell ref="A175:E175"/>
    <mergeCell ref="A183:C183"/>
    <mergeCell ref="A147:E147"/>
    <mergeCell ref="A155:C155"/>
    <mergeCell ref="A7:E7"/>
    <mergeCell ref="A127:C127"/>
    <mergeCell ref="A15:C15"/>
    <mergeCell ref="A36:E36"/>
    <mergeCell ref="A44:C44"/>
    <mergeCell ref="A63:E63"/>
    <mergeCell ref="A71:C71"/>
    <mergeCell ref="A90:E90"/>
    <mergeCell ref="A98:C98"/>
    <mergeCell ref="A119:E119"/>
  </mergeCells>
  <pageMargins left="0.75" right="0.75" top="1" bottom="1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opLeftCell="A58" workbookViewId="0"/>
  </sheetViews>
  <sheetFormatPr baseColWidth="10" defaultColWidth="11.42578125" defaultRowHeight="15" x14ac:dyDescent="0.25"/>
  <cols>
    <col min="1" max="1" width="24.28515625" style="52" customWidth="1"/>
    <col min="2" max="2" width="14.7109375" style="52" customWidth="1"/>
    <col min="3" max="4" width="18.28515625" style="52" customWidth="1"/>
    <col min="5" max="5" width="16" style="52" customWidth="1"/>
    <col min="6" max="6" width="15.42578125" style="52" customWidth="1"/>
    <col min="7" max="7" width="15" style="52" customWidth="1"/>
    <col min="8" max="8" width="13.7109375" style="52" bestFit="1" customWidth="1"/>
    <col min="9" max="9" width="16.42578125" style="52" bestFit="1" customWidth="1"/>
    <col min="10" max="10" width="17.42578125" style="52" bestFit="1" customWidth="1"/>
    <col min="11" max="11" width="17" style="52" customWidth="1"/>
    <col min="12" max="12" width="24" style="52" customWidth="1"/>
    <col min="13" max="16384" width="11.42578125" style="52"/>
  </cols>
  <sheetData>
    <row r="1" spans="1:9" ht="24.95" customHeight="1" x14ac:dyDescent="0.25"/>
    <row r="2" spans="1:9" ht="24.95" customHeight="1" x14ac:dyDescent="0.25">
      <c r="A2" s="197" t="s">
        <v>67</v>
      </c>
      <c r="B2" s="197"/>
      <c r="C2" s="197"/>
      <c r="D2" s="197"/>
      <c r="E2" s="197"/>
      <c r="F2" s="197" t="s">
        <v>68</v>
      </c>
      <c r="G2" s="197"/>
      <c r="H2" s="197"/>
      <c r="I2" s="197"/>
    </row>
    <row r="3" spans="1:9" ht="36" customHeight="1" x14ac:dyDescent="0.25">
      <c r="A3" s="53" t="s">
        <v>69</v>
      </c>
      <c r="B3" s="53" t="s">
        <v>70</v>
      </c>
      <c r="C3" s="54" t="s">
        <v>71</v>
      </c>
      <c r="D3" s="53" t="s">
        <v>72</v>
      </c>
      <c r="E3" s="53" t="s">
        <v>73</v>
      </c>
      <c r="F3" s="54" t="s">
        <v>74</v>
      </c>
      <c r="G3" s="54" t="s">
        <v>75</v>
      </c>
      <c r="H3" s="53" t="s">
        <v>104</v>
      </c>
      <c r="I3" s="74" t="s">
        <v>113</v>
      </c>
    </row>
    <row r="4" spans="1:9" ht="24.95" customHeight="1" x14ac:dyDescent="0.25">
      <c r="A4" s="55" t="s">
        <v>87</v>
      </c>
      <c r="B4" s="56">
        <v>30000000</v>
      </c>
      <c r="C4" s="53">
        <v>13</v>
      </c>
      <c r="D4" s="55">
        <v>43174</v>
      </c>
      <c r="E4" s="55">
        <v>45366</v>
      </c>
      <c r="F4" s="57">
        <v>2.3050000000000001E-2</v>
      </c>
      <c r="G4" s="58">
        <v>5.5E-2</v>
      </c>
      <c r="H4" s="59">
        <v>0.02</v>
      </c>
      <c r="I4" s="57">
        <f>SUM(F4:H4)</f>
        <v>9.8050000000000012E-2</v>
      </c>
    </row>
    <row r="5" spans="1:9" ht="24.95" customHeight="1" x14ac:dyDescent="0.25">
      <c r="A5" s="55" t="s">
        <v>88</v>
      </c>
      <c r="B5" s="56">
        <v>50000000</v>
      </c>
      <c r="C5" s="53">
        <v>8</v>
      </c>
      <c r="D5" s="55">
        <v>42993</v>
      </c>
      <c r="E5" s="55">
        <v>44270</v>
      </c>
      <c r="F5" s="57">
        <v>2.3050000000000001E-2</v>
      </c>
      <c r="G5" s="58">
        <v>0.05</v>
      </c>
      <c r="H5" s="59">
        <v>0.02</v>
      </c>
      <c r="I5" s="57">
        <f t="shared" ref="I5:I7" si="0">SUM(F5:H5)</f>
        <v>9.3050000000000008E-2</v>
      </c>
    </row>
    <row r="6" spans="1:9" ht="24.95" customHeight="1" x14ac:dyDescent="0.25">
      <c r="A6" s="55" t="s">
        <v>90</v>
      </c>
      <c r="B6" s="56">
        <v>30000000</v>
      </c>
      <c r="C6" s="53">
        <v>13</v>
      </c>
      <c r="D6" s="55">
        <v>43358</v>
      </c>
      <c r="E6" s="55">
        <v>45550</v>
      </c>
      <c r="F6" s="57">
        <v>2.3050000000000001E-2</v>
      </c>
      <c r="G6" s="58">
        <v>5.5E-2</v>
      </c>
      <c r="H6" s="59">
        <v>0.02</v>
      </c>
      <c r="I6" s="57">
        <f t="shared" si="0"/>
        <v>9.8050000000000012E-2</v>
      </c>
    </row>
    <row r="7" spans="1:9" ht="24.95" customHeight="1" x14ac:dyDescent="0.25">
      <c r="A7" s="55" t="s">
        <v>89</v>
      </c>
      <c r="B7" s="56">
        <v>45000000</v>
      </c>
      <c r="C7" s="53">
        <v>8</v>
      </c>
      <c r="D7" s="55">
        <v>43174</v>
      </c>
      <c r="E7" s="55">
        <v>44454</v>
      </c>
      <c r="F7" s="57">
        <v>2.3050000000000001E-2</v>
      </c>
      <c r="G7" s="58">
        <v>0.05</v>
      </c>
      <c r="H7" s="59">
        <v>0.02</v>
      </c>
      <c r="I7" s="57">
        <f t="shared" si="0"/>
        <v>9.3050000000000008E-2</v>
      </c>
    </row>
    <row r="8" spans="1:9" ht="24.95" customHeight="1" x14ac:dyDescent="0.25">
      <c r="A8" s="60"/>
      <c r="D8" s="61"/>
    </row>
    <row r="9" spans="1:9" ht="24.95" customHeight="1" x14ac:dyDescent="0.25">
      <c r="D9" s="61"/>
    </row>
    <row r="10" spans="1:9" ht="24.95" customHeight="1" x14ac:dyDescent="0.25">
      <c r="A10" s="197" t="s">
        <v>80</v>
      </c>
      <c r="B10" s="197"/>
      <c r="C10" s="197"/>
    </row>
    <row r="11" spans="1:9" ht="24.95" customHeight="1" x14ac:dyDescent="0.25">
      <c r="A11" s="62" t="s">
        <v>81</v>
      </c>
      <c r="B11" s="62" t="s">
        <v>69</v>
      </c>
      <c r="C11" s="62" t="s">
        <v>70</v>
      </c>
    </row>
    <row r="12" spans="1:9" ht="24.95" customHeight="1" x14ac:dyDescent="0.25">
      <c r="A12" s="55">
        <v>42549</v>
      </c>
      <c r="B12" s="55" t="s">
        <v>76</v>
      </c>
      <c r="C12" s="56">
        <v>30000000</v>
      </c>
    </row>
    <row r="13" spans="1:9" ht="24.95" customHeight="1" x14ac:dyDescent="0.25">
      <c r="A13" s="55">
        <v>42549</v>
      </c>
      <c r="B13" s="55" t="s">
        <v>77</v>
      </c>
      <c r="C13" s="56">
        <v>50000000</v>
      </c>
    </row>
    <row r="14" spans="1:9" ht="24.95" customHeight="1" x14ac:dyDescent="0.25">
      <c r="A14" s="55">
        <v>42692</v>
      </c>
      <c r="B14" s="55" t="s">
        <v>78</v>
      </c>
      <c r="C14" s="56">
        <v>30000000</v>
      </c>
    </row>
    <row r="15" spans="1:9" ht="24.95" customHeight="1" x14ac:dyDescent="0.25">
      <c r="A15" s="55">
        <v>42692</v>
      </c>
      <c r="B15" s="55" t="s">
        <v>79</v>
      </c>
      <c r="C15" s="56">
        <v>33000000</v>
      </c>
    </row>
    <row r="16" spans="1:9" ht="24.95" customHeight="1" x14ac:dyDescent="0.25">
      <c r="A16" s="55">
        <v>42703</v>
      </c>
      <c r="B16" s="55" t="s">
        <v>79</v>
      </c>
      <c r="C16" s="56">
        <v>12000000</v>
      </c>
    </row>
    <row r="17" spans="1:10" ht="24.95" customHeight="1" x14ac:dyDescent="0.25">
      <c r="A17" s="62" t="s">
        <v>82</v>
      </c>
      <c r="B17" s="55"/>
      <c r="C17" s="63">
        <f>SUM(C12:C16)</f>
        <v>155000000</v>
      </c>
    </row>
    <row r="18" spans="1:10" ht="24.95" customHeight="1" x14ac:dyDescent="0.25">
      <c r="A18" s="62" t="s">
        <v>83</v>
      </c>
      <c r="B18" s="64"/>
      <c r="C18" s="63">
        <f>D42</f>
        <v>20432692.100000001</v>
      </c>
    </row>
    <row r="19" spans="1:10" ht="24.95" customHeight="1" x14ac:dyDescent="0.25">
      <c r="A19" s="62" t="s">
        <v>114</v>
      </c>
      <c r="B19" s="64"/>
      <c r="C19" s="63">
        <f>C17-C18</f>
        <v>134567307.90000001</v>
      </c>
    </row>
    <row r="20" spans="1:10" ht="24.95" customHeight="1" x14ac:dyDescent="0.25"/>
    <row r="21" spans="1:10" ht="24.95" customHeight="1" x14ac:dyDescent="0.25">
      <c r="A21" s="197" t="s">
        <v>84</v>
      </c>
      <c r="B21" s="197"/>
      <c r="C21" s="197"/>
      <c r="D21" s="197"/>
    </row>
    <row r="22" spans="1:10" ht="24.95" customHeight="1" x14ac:dyDescent="0.25">
      <c r="A22" s="62" t="s">
        <v>81</v>
      </c>
      <c r="B22" s="62" t="s">
        <v>69</v>
      </c>
      <c r="C22" s="62" t="s">
        <v>85</v>
      </c>
      <c r="D22" s="62" t="s">
        <v>86</v>
      </c>
    </row>
    <row r="23" spans="1:10" ht="18" customHeight="1" x14ac:dyDescent="0.25">
      <c r="A23" s="55">
        <v>42635</v>
      </c>
      <c r="B23" s="55" t="s">
        <v>87</v>
      </c>
      <c r="C23" s="65">
        <v>403163.33</v>
      </c>
      <c r="D23" s="65"/>
      <c r="H23" s="197" t="s">
        <v>117</v>
      </c>
      <c r="I23" s="197"/>
      <c r="J23" s="197"/>
    </row>
    <row r="24" spans="1:10" x14ac:dyDescent="0.25">
      <c r="A24" s="55">
        <v>42635</v>
      </c>
      <c r="B24" s="55" t="s">
        <v>88</v>
      </c>
      <c r="C24" s="65">
        <v>617077.78</v>
      </c>
      <c r="D24" s="65"/>
      <c r="H24" s="75" t="s">
        <v>69</v>
      </c>
      <c r="I24" s="76" t="s">
        <v>115</v>
      </c>
      <c r="J24" s="76" t="s">
        <v>116</v>
      </c>
    </row>
    <row r="25" spans="1:10" x14ac:dyDescent="0.25">
      <c r="A25" s="55">
        <v>42809</v>
      </c>
      <c r="B25" s="55" t="s">
        <v>90</v>
      </c>
      <c r="C25" s="65">
        <v>524897.1</v>
      </c>
      <c r="D25" s="65"/>
      <c r="H25" s="77" t="s">
        <v>87</v>
      </c>
      <c r="I25" s="78">
        <v>2307692.1</v>
      </c>
      <c r="J25" s="78">
        <v>3623394.17</v>
      </c>
    </row>
    <row r="26" spans="1:10" x14ac:dyDescent="0.25">
      <c r="A26" s="55">
        <v>42810</v>
      </c>
      <c r="B26" s="55" t="s">
        <v>87</v>
      </c>
      <c r="C26" s="65">
        <v>1107974.17</v>
      </c>
      <c r="D26" s="65"/>
      <c r="H26" s="77" t="s">
        <v>90</v>
      </c>
      <c r="I26" s="78"/>
      <c r="J26" s="78">
        <v>2728144.1700000004</v>
      </c>
    </row>
    <row r="27" spans="1:10" x14ac:dyDescent="0.25">
      <c r="A27" s="55">
        <v>42810</v>
      </c>
      <c r="B27" s="55" t="s">
        <v>88</v>
      </c>
      <c r="C27" s="65">
        <v>1570929.16</v>
      </c>
      <c r="D27" s="65"/>
      <c r="H27" s="77" t="s">
        <v>88</v>
      </c>
      <c r="I27" s="78">
        <v>12500000</v>
      </c>
      <c r="J27" s="78">
        <v>5252091.67</v>
      </c>
    </row>
    <row r="28" spans="1:10" x14ac:dyDescent="0.25">
      <c r="A28" s="55">
        <v>42810</v>
      </c>
      <c r="B28" s="55" t="s">
        <v>90</v>
      </c>
      <c r="C28" s="65">
        <v>90990.399999999994</v>
      </c>
      <c r="D28" s="65"/>
      <c r="H28" s="77" t="s">
        <v>89</v>
      </c>
      <c r="I28" s="78">
        <v>5625000</v>
      </c>
      <c r="J28" s="78">
        <v>3555331.8500000006</v>
      </c>
    </row>
    <row r="29" spans="1:10" x14ac:dyDescent="0.25">
      <c r="A29" s="55">
        <v>42810</v>
      </c>
      <c r="B29" s="53" t="s">
        <v>89</v>
      </c>
      <c r="C29" s="65">
        <v>725920.65</v>
      </c>
      <c r="D29" s="65"/>
      <c r="H29" s="77" t="s">
        <v>91</v>
      </c>
      <c r="I29" s="78">
        <v>20432692.100000001</v>
      </c>
      <c r="J29" s="78">
        <v>15158961.859999999</v>
      </c>
    </row>
    <row r="30" spans="1:10" x14ac:dyDescent="0.25">
      <c r="A30" s="55">
        <v>42810</v>
      </c>
      <c r="B30" s="53" t="s">
        <v>89</v>
      </c>
      <c r="C30" s="65">
        <v>125885.6</v>
      </c>
      <c r="D30" s="65"/>
      <c r="H30"/>
      <c r="I30"/>
      <c r="J30"/>
    </row>
    <row r="31" spans="1:10" x14ac:dyDescent="0.25">
      <c r="A31" s="55">
        <v>42993</v>
      </c>
      <c r="B31" s="55" t="s">
        <v>87</v>
      </c>
      <c r="C31" s="65">
        <v>1063060</v>
      </c>
      <c r="D31" s="65"/>
      <c r="H31"/>
      <c r="I31"/>
      <c r="J31"/>
    </row>
    <row r="32" spans="1:10" x14ac:dyDescent="0.25">
      <c r="A32" s="55">
        <v>42993</v>
      </c>
      <c r="B32" s="55" t="s">
        <v>88</v>
      </c>
      <c r="C32" s="65">
        <v>1643988.89</v>
      </c>
      <c r="D32" s="65">
        <v>6250000</v>
      </c>
      <c r="H32"/>
      <c r="I32"/>
      <c r="J32"/>
    </row>
    <row r="33" spans="1:14" x14ac:dyDescent="0.25">
      <c r="A33" s="55">
        <v>42993</v>
      </c>
      <c r="B33" s="55" t="s">
        <v>90</v>
      </c>
      <c r="C33" s="65">
        <v>892970.4</v>
      </c>
      <c r="D33" s="65"/>
      <c r="H33"/>
      <c r="I33"/>
      <c r="J33"/>
    </row>
    <row r="34" spans="1:14" x14ac:dyDescent="0.25">
      <c r="A34" s="55">
        <v>42993</v>
      </c>
      <c r="B34" s="53" t="s">
        <v>90</v>
      </c>
      <c r="C34" s="65">
        <v>170089.60000000001</v>
      </c>
      <c r="D34" s="65"/>
      <c r="H34"/>
      <c r="I34"/>
      <c r="J34"/>
    </row>
    <row r="35" spans="1:14" x14ac:dyDescent="0.25">
      <c r="A35" s="55">
        <v>42993</v>
      </c>
      <c r="B35" s="53" t="s">
        <v>89</v>
      </c>
      <c r="C35" s="65">
        <v>1242855.6000000001</v>
      </c>
      <c r="D35" s="65"/>
      <c r="H35"/>
      <c r="I35"/>
      <c r="J35"/>
    </row>
    <row r="36" spans="1:14" x14ac:dyDescent="0.25">
      <c r="A36" s="55">
        <v>42993</v>
      </c>
      <c r="B36" s="53" t="s">
        <v>89</v>
      </c>
      <c r="C36" s="65">
        <v>1226962.8</v>
      </c>
      <c r="D36" s="65">
        <v>4725000</v>
      </c>
      <c r="H36"/>
      <c r="I36"/>
      <c r="J36"/>
    </row>
    <row r="37" spans="1:14" x14ac:dyDescent="0.25">
      <c r="A37" s="55">
        <v>43175</v>
      </c>
      <c r="B37" s="55" t="s">
        <v>87</v>
      </c>
      <c r="C37" s="65">
        <v>1049196.67</v>
      </c>
      <c r="D37" s="65">
        <v>2307692.1</v>
      </c>
      <c r="H37"/>
      <c r="I37"/>
      <c r="J37"/>
    </row>
    <row r="38" spans="1:14" x14ac:dyDescent="0.25">
      <c r="A38" s="55">
        <v>43175</v>
      </c>
      <c r="B38" s="55" t="s">
        <v>88</v>
      </c>
      <c r="C38" s="65">
        <v>1420095.84</v>
      </c>
      <c r="D38" s="65">
        <v>6250000</v>
      </c>
      <c r="H38"/>
      <c r="I38"/>
      <c r="J38"/>
    </row>
    <row r="39" spans="1:14" x14ac:dyDescent="0.25">
      <c r="A39" s="55">
        <v>43175</v>
      </c>
      <c r="B39" s="53" t="s">
        <v>90</v>
      </c>
      <c r="C39" s="65">
        <v>881325.2</v>
      </c>
      <c r="D39" s="65"/>
      <c r="H39"/>
      <c r="I39"/>
      <c r="J39"/>
    </row>
    <row r="40" spans="1:14" x14ac:dyDescent="0.25">
      <c r="A40" s="55">
        <v>43175</v>
      </c>
      <c r="B40" s="53" t="s">
        <v>90</v>
      </c>
      <c r="C40" s="65">
        <v>167871.47</v>
      </c>
      <c r="D40" s="65"/>
      <c r="H40"/>
      <c r="I40"/>
      <c r="J40"/>
    </row>
    <row r="41" spans="1:14" x14ac:dyDescent="0.25">
      <c r="A41" s="55">
        <v>43175</v>
      </c>
      <c r="B41" s="53" t="s">
        <v>89</v>
      </c>
      <c r="C41" s="65">
        <v>233707.2</v>
      </c>
      <c r="D41" s="65">
        <v>900000</v>
      </c>
      <c r="H41"/>
      <c r="I41"/>
      <c r="J41"/>
    </row>
    <row r="42" spans="1:14" ht="24.95" customHeight="1" x14ac:dyDescent="0.25">
      <c r="A42" s="53"/>
      <c r="B42" s="71" t="s">
        <v>91</v>
      </c>
      <c r="C42" s="63">
        <f>SUM(C23:C41)</f>
        <v>15158961.859999999</v>
      </c>
      <c r="D42" s="63">
        <f>SUM(D23:D41)</f>
        <v>20432692.100000001</v>
      </c>
    </row>
    <row r="43" spans="1:14" ht="24.95" customHeight="1" x14ac:dyDescent="0.25"/>
    <row r="44" spans="1:14" ht="24.95" customHeight="1" x14ac:dyDescent="0.25">
      <c r="A44" s="197" t="str">
        <f>"CALCULO DEL VALOR FUTURO DE LA DEUDA A TASAS CONTRACTUALES - CAPITALIZACIÓN "&amp; H46</f>
        <v>CALCULO DEL VALOR FUTURO DE LA DEUDA A TASAS CONTRACTUALES - CAPITALIZACIÓN SEMESTRAL</v>
      </c>
      <c r="B44" s="197"/>
      <c r="C44" s="197"/>
      <c r="D44" s="197"/>
      <c r="E44" s="197"/>
      <c r="F44" s="197"/>
      <c r="G44" s="197"/>
      <c r="H44" s="197"/>
      <c r="I44" s="197"/>
      <c r="J44" s="197"/>
    </row>
    <row r="45" spans="1:14" ht="36" customHeight="1" x14ac:dyDescent="0.25">
      <c r="A45" s="197" t="s">
        <v>69</v>
      </c>
      <c r="B45" s="197" t="s">
        <v>70</v>
      </c>
      <c r="C45" s="181" t="s">
        <v>92</v>
      </c>
      <c r="D45" s="181" t="s">
        <v>93</v>
      </c>
      <c r="E45" s="181" t="s">
        <v>94</v>
      </c>
      <c r="F45" s="181" t="s">
        <v>119</v>
      </c>
      <c r="G45" s="181" t="s">
        <v>95</v>
      </c>
      <c r="H45" s="66" t="s">
        <v>120</v>
      </c>
      <c r="I45" s="181" t="s">
        <v>97</v>
      </c>
      <c r="J45" s="181" t="str">
        <f>"VALOR FUTURO CAPIT "&amp;H46</f>
        <v>VALOR FUTURO CAPIT SEMESTRAL</v>
      </c>
    </row>
    <row r="46" spans="1:14" ht="37.5" customHeight="1" x14ac:dyDescent="0.25">
      <c r="A46" s="197"/>
      <c r="B46" s="197"/>
      <c r="C46" s="181"/>
      <c r="D46" s="181"/>
      <c r="E46" s="181"/>
      <c r="F46" s="181"/>
      <c r="G46" s="181"/>
      <c r="H46" s="69" t="s">
        <v>103</v>
      </c>
      <c r="I46" s="181"/>
      <c r="J46" s="181"/>
      <c r="L46" s="189" t="s">
        <v>99</v>
      </c>
      <c r="M46" s="190"/>
      <c r="N46" s="191"/>
    </row>
    <row r="47" spans="1:14" ht="24.95" customHeight="1" x14ac:dyDescent="0.25">
      <c r="A47" s="79" t="s">
        <v>87</v>
      </c>
      <c r="B47" s="65">
        <v>30000000</v>
      </c>
      <c r="C47" s="65">
        <f>D26+SUMIF($B$23:$B$41,A47,$D$23:$D$41)</f>
        <v>2307692.1</v>
      </c>
      <c r="D47" s="65">
        <f>B47-C47</f>
        <v>27692307.899999999</v>
      </c>
      <c r="E47" s="55">
        <v>43359</v>
      </c>
      <c r="F47" s="57">
        <f>F4+G4</f>
        <v>7.8050000000000008E-2</v>
      </c>
      <c r="G47" s="195">
        <v>44441</v>
      </c>
      <c r="H47" s="53">
        <f>ROUND(($G$47-E47)/VLOOKUP($H$46,$L$47:$M$51,2,0),2)</f>
        <v>6.01</v>
      </c>
      <c r="I47" s="67">
        <f>J47-D47</f>
        <v>7164000.9589748308</v>
      </c>
      <c r="J47" s="67">
        <f>-FV(F47/VLOOKUP($H$46,$L$47:$N$51,3,0),H47,,D47)</f>
        <v>34856308.858974829</v>
      </c>
      <c r="L47" s="53" t="s">
        <v>98</v>
      </c>
      <c r="M47" s="53">
        <v>30</v>
      </c>
      <c r="N47" s="53">
        <v>12</v>
      </c>
    </row>
    <row r="48" spans="1:14" ht="24.95" customHeight="1" x14ac:dyDescent="0.25">
      <c r="A48" s="79" t="s">
        <v>88</v>
      </c>
      <c r="B48" s="65">
        <v>50000000</v>
      </c>
      <c r="C48" s="65">
        <f>D27+SUMIF($B$23:$B$41,A48,$D$23:$D$41)</f>
        <v>12500000</v>
      </c>
      <c r="D48" s="65">
        <f t="shared" ref="D48:D50" si="1">B48-C48</f>
        <v>37500000</v>
      </c>
      <c r="E48" s="55">
        <v>43174</v>
      </c>
      <c r="F48" s="57">
        <f t="shared" ref="F48:F50" si="2">F5+G5</f>
        <v>7.3050000000000004E-2</v>
      </c>
      <c r="G48" s="196"/>
      <c r="H48" s="53">
        <f>ROUND(($G$47-E48)/VLOOKUP($H$46,$L$47:$M$51,2,0),2)</f>
        <v>7.04</v>
      </c>
      <c r="I48" s="67">
        <f t="shared" ref="I48:I50" si="3">J48-D48</f>
        <v>10773960.225853249</v>
      </c>
      <c r="J48" s="67">
        <f>-FV(F48/VLOOKUP($H$46,$L$47:$N$51,3,0),H48,,D48)</f>
        <v>48273960.225853249</v>
      </c>
      <c r="L48" s="53" t="s">
        <v>100</v>
      </c>
      <c r="M48" s="53">
        <v>60</v>
      </c>
      <c r="N48" s="53">
        <v>6</v>
      </c>
    </row>
    <row r="49" spans="1:14" ht="24.95" customHeight="1" x14ac:dyDescent="0.25">
      <c r="A49" s="79" t="s">
        <v>90</v>
      </c>
      <c r="B49" s="65">
        <v>30000000</v>
      </c>
      <c r="C49" s="65">
        <f>D28+SUMIF($B$23:$B$41,A49,$D$23:$D$41)</f>
        <v>0</v>
      </c>
      <c r="D49" s="65">
        <f t="shared" si="1"/>
        <v>30000000</v>
      </c>
      <c r="E49" s="55">
        <v>43358</v>
      </c>
      <c r="F49" s="57">
        <f t="shared" si="2"/>
        <v>7.8050000000000008E-2</v>
      </c>
      <c r="G49" s="196"/>
      <c r="H49" s="53">
        <f>ROUND(($G$47-E49)/VLOOKUP($H$46,$L$47:$M$51,2,0),2)</f>
        <v>6.02</v>
      </c>
      <c r="I49" s="67">
        <f t="shared" si="3"/>
        <v>7775459.7065545022</v>
      </c>
      <c r="J49" s="67">
        <f t="shared" ref="J49:J50" si="4">-FV(F49/VLOOKUP($H$46,$L$47:$N$51,3,0),H49,,D49)</f>
        <v>37775459.706554502</v>
      </c>
      <c r="L49" s="53" t="s">
        <v>101</v>
      </c>
      <c r="M49" s="53">
        <v>90</v>
      </c>
      <c r="N49" s="53">
        <v>4</v>
      </c>
    </row>
    <row r="50" spans="1:14" ht="24.95" customHeight="1" x14ac:dyDescent="0.25">
      <c r="A50" s="79" t="s">
        <v>89</v>
      </c>
      <c r="B50" s="65">
        <v>45000000</v>
      </c>
      <c r="C50" s="65">
        <f>D29+SUMIF($B$23:$B$41,A50,$D$23:$D$41)</f>
        <v>5625000</v>
      </c>
      <c r="D50" s="65">
        <f t="shared" si="1"/>
        <v>39375000</v>
      </c>
      <c r="E50" s="55">
        <v>43175</v>
      </c>
      <c r="F50" s="57">
        <f t="shared" si="2"/>
        <v>7.3050000000000004E-2</v>
      </c>
      <c r="G50" s="196"/>
      <c r="H50" s="53">
        <f>ROUND(($G$47-E50)/VLOOKUP($H$46,$L$47:$M$51,2,0),2)</f>
        <v>7.03</v>
      </c>
      <c r="I50" s="67">
        <f t="shared" si="3"/>
        <v>11294477.923255228</v>
      </c>
      <c r="J50" s="67">
        <f t="shared" si="4"/>
        <v>50669477.923255228</v>
      </c>
      <c r="L50" s="53" t="s">
        <v>102</v>
      </c>
      <c r="M50" s="53">
        <v>120</v>
      </c>
      <c r="N50" s="53">
        <v>3</v>
      </c>
    </row>
    <row r="51" spans="1:14" ht="33" customHeight="1" x14ac:dyDescent="0.25">
      <c r="B51" s="63">
        <f>SUM(B47:B50)</f>
        <v>155000000</v>
      </c>
      <c r="C51" s="63">
        <f t="shared" ref="C51:D51" si="5">SUM(C47:C50)</f>
        <v>20432692.100000001</v>
      </c>
      <c r="D51" s="63">
        <f t="shared" si="5"/>
        <v>134567307.90000001</v>
      </c>
      <c r="E51" s="68"/>
      <c r="F51" s="68"/>
      <c r="G51" s="68"/>
      <c r="H51" s="68"/>
      <c r="I51" s="63">
        <f t="shared" ref="I51:J51" si="6">SUM(I47:I50)</f>
        <v>37007898.81463781</v>
      </c>
      <c r="J51" s="63">
        <f t="shared" si="6"/>
        <v>171575206.71463782</v>
      </c>
      <c r="L51" s="53" t="s">
        <v>103</v>
      </c>
      <c r="M51" s="53">
        <v>180</v>
      </c>
      <c r="N51" s="53">
        <v>2</v>
      </c>
    </row>
    <row r="52" spans="1:14" ht="43.5" customHeight="1" x14ac:dyDescent="0.25"/>
    <row r="53" spans="1:14" ht="24.95" customHeight="1" x14ac:dyDescent="0.25">
      <c r="A53" s="197" t="str">
        <f>"CALCULO DEL VALOR FUTURO DE LA DEUDA A TASAS MORIGERADAS - CAPITALIZACIÓN "&amp; H55</f>
        <v>CALCULO DEL VALOR FUTURO DE LA DEUDA A TASAS MORIGERADAS - CAPITALIZACIÓN SEMESTRAL</v>
      </c>
      <c r="B53" s="197"/>
      <c r="C53" s="197"/>
      <c r="D53" s="197"/>
      <c r="E53" s="197"/>
      <c r="F53" s="197"/>
      <c r="G53" s="197"/>
      <c r="H53" s="197"/>
      <c r="I53" s="197"/>
      <c r="J53" s="197"/>
    </row>
    <row r="54" spans="1:14" ht="33" customHeight="1" x14ac:dyDescent="0.25">
      <c r="A54" s="197" t="s">
        <v>69</v>
      </c>
      <c r="B54" s="197" t="s">
        <v>70</v>
      </c>
      <c r="C54" s="181" t="s">
        <v>92</v>
      </c>
      <c r="D54" s="181" t="s">
        <v>93</v>
      </c>
      <c r="E54" s="181" t="s">
        <v>94</v>
      </c>
      <c r="F54" s="181" t="s">
        <v>118</v>
      </c>
      <c r="G54" s="181" t="s">
        <v>95</v>
      </c>
      <c r="H54" s="66" t="s">
        <v>96</v>
      </c>
      <c r="I54" s="181" t="s">
        <v>97</v>
      </c>
      <c r="J54" s="181" t="str">
        <f>"VALOR FUTURO CAPIT "&amp;H55</f>
        <v>VALOR FUTURO CAPIT SEMESTRAL</v>
      </c>
    </row>
    <row r="55" spans="1:14" ht="24.95" customHeight="1" x14ac:dyDescent="0.25">
      <c r="A55" s="197"/>
      <c r="B55" s="197"/>
      <c r="C55" s="181"/>
      <c r="D55" s="181"/>
      <c r="E55" s="181"/>
      <c r="F55" s="181"/>
      <c r="G55" s="181"/>
      <c r="H55" s="69" t="s">
        <v>103</v>
      </c>
      <c r="I55" s="181"/>
      <c r="J55" s="181"/>
    </row>
    <row r="56" spans="1:14" ht="24.95" customHeight="1" x14ac:dyDescent="0.25">
      <c r="A56" s="79" t="s">
        <v>87</v>
      </c>
      <c r="B56" s="65">
        <v>30000000</v>
      </c>
      <c r="C56" s="65">
        <f>C47</f>
        <v>2307692.1</v>
      </c>
      <c r="D56" s="65">
        <f>B56-C56</f>
        <v>27692307.899999999</v>
      </c>
      <c r="E56" s="55">
        <f>E47</f>
        <v>43359</v>
      </c>
      <c r="F56" s="192">
        <v>0.08</v>
      </c>
      <c r="G56" s="195">
        <v>44441</v>
      </c>
      <c r="H56" s="53">
        <f>ROUND(($G$56-E56)/VLOOKUP($H$55,$L$47:$M$51,2,0),2)</f>
        <v>6.01</v>
      </c>
      <c r="I56" s="67">
        <f>J56-D56</f>
        <v>7361041.4297948629</v>
      </c>
      <c r="J56" s="81">
        <f>-FV(F56/VLOOKUP($H$55,$L$47:$N$51,3,0),H56,,D56)</f>
        <v>35053349.329794861</v>
      </c>
    </row>
    <row r="57" spans="1:14" ht="24.95" customHeight="1" x14ac:dyDescent="0.25">
      <c r="A57" s="79" t="s">
        <v>88</v>
      </c>
      <c r="B57" s="65">
        <v>50000000</v>
      </c>
      <c r="C57" s="65">
        <f t="shared" ref="C57:C59" si="7">C48</f>
        <v>12500000</v>
      </c>
      <c r="D57" s="65">
        <f t="shared" ref="D57:D59" si="8">B57-C57</f>
        <v>37500000</v>
      </c>
      <c r="E57" s="55">
        <f t="shared" ref="E57:E59" si="9">E48</f>
        <v>43174</v>
      </c>
      <c r="F57" s="193"/>
      <c r="G57" s="196"/>
      <c r="H57" s="53">
        <f t="shared" ref="H57:H59" si="10">ROUND(($G$56-E57)/VLOOKUP($H$55,$L$47:$M$51,2,0),2)</f>
        <v>7.04</v>
      </c>
      <c r="I57" s="67">
        <f t="shared" ref="I57:I59" si="11">J57-D57</f>
        <v>11924920.154905446</v>
      </c>
      <c r="J57" s="81">
        <f>-FV(F56/VLOOKUP($H$55,$L$47:$N$51,3,0),H57,,D57)</f>
        <v>49424920.154905446</v>
      </c>
    </row>
    <row r="58" spans="1:14" ht="24.95" customHeight="1" x14ac:dyDescent="0.25">
      <c r="A58" s="79" t="s">
        <v>90</v>
      </c>
      <c r="B58" s="65">
        <v>30000000</v>
      </c>
      <c r="C58" s="65">
        <f t="shared" si="7"/>
        <v>0</v>
      </c>
      <c r="D58" s="65">
        <f t="shared" si="8"/>
        <v>30000000</v>
      </c>
      <c r="E58" s="55">
        <f t="shared" si="9"/>
        <v>43358</v>
      </c>
      <c r="F58" s="193"/>
      <c r="G58" s="196"/>
      <c r="H58" s="53">
        <f t="shared" si="10"/>
        <v>6.02</v>
      </c>
      <c r="I58" s="67">
        <f t="shared" si="11"/>
        <v>7989358.2648680136</v>
      </c>
      <c r="J58" s="81">
        <f>-FV(F56/VLOOKUP($H$55,$L$47:$N$51,3,0),H58,,D58)</f>
        <v>37989358.264868014</v>
      </c>
    </row>
    <row r="59" spans="1:14" ht="24.95" customHeight="1" x14ac:dyDescent="0.25">
      <c r="A59" s="79" t="s">
        <v>89</v>
      </c>
      <c r="B59" s="65">
        <v>45000000</v>
      </c>
      <c r="C59" s="65">
        <f t="shared" si="7"/>
        <v>5625000</v>
      </c>
      <c r="D59" s="65">
        <f t="shared" si="8"/>
        <v>39375000</v>
      </c>
      <c r="E59" s="55">
        <f t="shared" si="9"/>
        <v>43175</v>
      </c>
      <c r="F59" s="194"/>
      <c r="G59" s="196"/>
      <c r="H59" s="53">
        <f t="shared" si="10"/>
        <v>7.03</v>
      </c>
      <c r="I59" s="67">
        <f t="shared" si="11"/>
        <v>5080249.3142312542</v>
      </c>
      <c r="J59" s="67">
        <f>-FV(F56/VLOOKUP($H$55,$L$47:$N$51,3,0),H59,D59/H59)</f>
        <v>44455249.314231254</v>
      </c>
    </row>
    <row r="60" spans="1:14" ht="31.5" customHeight="1" x14ac:dyDescent="0.25">
      <c r="B60" s="63">
        <f>SUM(B56:B59)</f>
        <v>155000000</v>
      </c>
      <c r="C60" s="63">
        <f t="shared" ref="C60:D60" si="12">SUM(C56:C59)</f>
        <v>20432692.100000001</v>
      </c>
      <c r="D60" s="63">
        <f t="shared" si="12"/>
        <v>134567307.90000001</v>
      </c>
      <c r="E60" s="68"/>
      <c r="F60" s="68"/>
      <c r="G60" s="68"/>
      <c r="H60" s="68"/>
      <c r="I60" s="63">
        <f t="shared" ref="I60" si="13">SUM(I56:I59)</f>
        <v>32355569.163799576</v>
      </c>
      <c r="J60" s="63">
        <f>SUM(J56:J59)</f>
        <v>166922877.06379956</v>
      </c>
    </row>
    <row r="63" spans="1:14" x14ac:dyDescent="0.25">
      <c r="A63" s="88" t="s">
        <v>121</v>
      </c>
    </row>
    <row r="65" spans="1:10" ht="39" customHeight="1" x14ac:dyDescent="0.25">
      <c r="A65" s="187" t="s">
        <v>125</v>
      </c>
      <c r="B65" s="182" t="s">
        <v>94</v>
      </c>
      <c r="C65" s="187" t="s">
        <v>69</v>
      </c>
      <c r="D65" s="187" t="s">
        <v>70</v>
      </c>
      <c r="E65" s="182" t="s">
        <v>126</v>
      </c>
      <c r="F65" s="182" t="s">
        <v>118</v>
      </c>
      <c r="G65" s="182" t="s">
        <v>95</v>
      </c>
      <c r="H65" s="80" t="s">
        <v>96</v>
      </c>
      <c r="I65" s="181" t="s">
        <v>97</v>
      </c>
      <c r="J65" s="80" t="str">
        <f>"VALOR FUTURO CAPIT "&amp;H66</f>
        <v>VALOR FUTURO CAPIT SEMESTRAL</v>
      </c>
    </row>
    <row r="66" spans="1:10" ht="21.75" customHeight="1" x14ac:dyDescent="0.25">
      <c r="A66" s="188"/>
      <c r="B66" s="183"/>
      <c r="C66" s="188"/>
      <c r="D66" s="188"/>
      <c r="E66" s="183"/>
      <c r="F66" s="183"/>
      <c r="G66" s="183"/>
      <c r="H66" s="69" t="s">
        <v>103</v>
      </c>
      <c r="I66" s="181"/>
      <c r="J66" s="69" t="s">
        <v>127</v>
      </c>
    </row>
    <row r="67" spans="1:10" x14ac:dyDescent="0.25">
      <c r="A67" s="82" t="s">
        <v>124</v>
      </c>
      <c r="B67" s="55">
        <v>43360</v>
      </c>
      <c r="C67" s="86" t="s">
        <v>88</v>
      </c>
      <c r="D67" s="65">
        <v>10000</v>
      </c>
      <c r="E67" s="83">
        <f>VLOOKUP(C67,$A$4:$I$7,9,0)-2%</f>
        <v>7.3050000000000004E-2</v>
      </c>
      <c r="F67" s="184">
        <v>0.08</v>
      </c>
      <c r="G67" s="186">
        <v>44621</v>
      </c>
      <c r="H67" s="84">
        <f>ROUND(($G$67-B67)/VLOOKUP($H$66,$L$47:$M$51,2,0),2)</f>
        <v>7.01</v>
      </c>
      <c r="I67" s="85">
        <f>J67-D67</f>
        <v>3164.4799829004714</v>
      </c>
      <c r="J67" s="67">
        <f t="shared" ref="J67:J73" si="14">-FV(IF($J$66="Tasa Contractual",E67,$F$67)/VLOOKUP($H$66,$L$47:$N$51,3,0),H67,,D67)</f>
        <v>13164.479982900471</v>
      </c>
    </row>
    <row r="68" spans="1:10" x14ac:dyDescent="0.25">
      <c r="A68" s="82" t="s">
        <v>122</v>
      </c>
      <c r="B68" s="55">
        <v>43539</v>
      </c>
      <c r="C68" s="86" t="s">
        <v>87</v>
      </c>
      <c r="D68" s="65">
        <v>15000</v>
      </c>
      <c r="E68" s="83">
        <f t="shared" ref="E68:E73" si="15">VLOOKUP(C68,$A$4:$I$7,9,0)-2%</f>
        <v>7.8050000000000008E-2</v>
      </c>
      <c r="F68" s="185"/>
      <c r="G68" s="186"/>
      <c r="H68" s="84">
        <f t="shared" ref="H68:H73" si="16">ROUND(($G$67-B68)/VLOOKUP($H$66,$L$47:$M$51,2,0),2)</f>
        <v>6.01</v>
      </c>
      <c r="I68" s="85">
        <f t="shared" ref="I68:I73" si="17">J68-D68</f>
        <v>3987.2307445679871</v>
      </c>
      <c r="J68" s="67">
        <f t="shared" si="14"/>
        <v>18987.230744567987</v>
      </c>
    </row>
    <row r="69" spans="1:10" x14ac:dyDescent="0.25">
      <c r="A69" s="82" t="s">
        <v>122</v>
      </c>
      <c r="B69" s="55">
        <v>43724</v>
      </c>
      <c r="C69" s="86" t="s">
        <v>87</v>
      </c>
      <c r="D69" s="65">
        <v>15000</v>
      </c>
      <c r="E69" s="83">
        <f t="shared" si="15"/>
        <v>7.8050000000000008E-2</v>
      </c>
      <c r="F69" s="185"/>
      <c r="G69" s="186"/>
      <c r="H69" s="84">
        <f t="shared" si="16"/>
        <v>4.9800000000000004</v>
      </c>
      <c r="I69" s="85">
        <f t="shared" si="17"/>
        <v>3235.4837507859156</v>
      </c>
      <c r="J69" s="67">
        <f t="shared" si="14"/>
        <v>18235.483750785916</v>
      </c>
    </row>
    <row r="70" spans="1:10" x14ac:dyDescent="0.25">
      <c r="A70" s="82" t="s">
        <v>124</v>
      </c>
      <c r="B70" s="55">
        <v>43724</v>
      </c>
      <c r="C70" s="86" t="s">
        <v>88</v>
      </c>
      <c r="D70" s="65">
        <v>10000</v>
      </c>
      <c r="E70" s="83">
        <f t="shared" si="15"/>
        <v>7.3050000000000004E-2</v>
      </c>
      <c r="F70" s="185"/>
      <c r="G70" s="186"/>
      <c r="H70" s="84">
        <f t="shared" si="16"/>
        <v>4.9800000000000004</v>
      </c>
      <c r="I70" s="85">
        <f t="shared" si="17"/>
        <v>2156.9891671906098</v>
      </c>
      <c r="J70" s="67">
        <f t="shared" si="14"/>
        <v>12156.98916719061</v>
      </c>
    </row>
    <row r="71" spans="1:10" x14ac:dyDescent="0.25">
      <c r="A71" s="82" t="s">
        <v>123</v>
      </c>
      <c r="B71" s="55">
        <v>43906</v>
      </c>
      <c r="C71" s="86" t="s">
        <v>87</v>
      </c>
      <c r="D71" s="65">
        <v>106507.48</v>
      </c>
      <c r="E71" s="83">
        <f t="shared" si="15"/>
        <v>7.8050000000000008E-2</v>
      </c>
      <c r="F71" s="185"/>
      <c r="G71" s="186"/>
      <c r="H71" s="84">
        <f t="shared" si="16"/>
        <v>3.97</v>
      </c>
      <c r="I71" s="85">
        <f t="shared" si="17"/>
        <v>17944.687916706607</v>
      </c>
      <c r="J71" s="67">
        <f t="shared" si="14"/>
        <v>124452.1679167066</v>
      </c>
    </row>
    <row r="72" spans="1:10" x14ac:dyDescent="0.25">
      <c r="A72" s="82" t="s">
        <v>122</v>
      </c>
      <c r="B72" s="55">
        <v>44231</v>
      </c>
      <c r="C72" s="86" t="s">
        <v>87</v>
      </c>
      <c r="D72" s="65">
        <v>15000</v>
      </c>
      <c r="E72" s="83">
        <f t="shared" si="15"/>
        <v>7.8050000000000008E-2</v>
      </c>
      <c r="F72" s="185"/>
      <c r="G72" s="186"/>
      <c r="H72" s="84">
        <f t="shared" si="16"/>
        <v>2.17</v>
      </c>
      <c r="I72" s="85">
        <f t="shared" si="17"/>
        <v>1332.5352931343878</v>
      </c>
      <c r="J72" s="67">
        <f t="shared" si="14"/>
        <v>16332.535293134388</v>
      </c>
    </row>
    <row r="73" spans="1:10" x14ac:dyDescent="0.25">
      <c r="A73" s="82" t="s">
        <v>124</v>
      </c>
      <c r="B73" s="87">
        <v>44231</v>
      </c>
      <c r="C73" s="86" t="s">
        <v>88</v>
      </c>
      <c r="D73" s="65">
        <v>10000</v>
      </c>
      <c r="E73" s="83">
        <f t="shared" si="15"/>
        <v>7.3050000000000004E-2</v>
      </c>
      <c r="F73" s="185"/>
      <c r="G73" s="186"/>
      <c r="H73" s="84">
        <f t="shared" si="16"/>
        <v>2.17</v>
      </c>
      <c r="I73" s="85">
        <f t="shared" si="17"/>
        <v>888.35686208959123</v>
      </c>
      <c r="J73" s="67">
        <f t="shared" si="14"/>
        <v>10888.356862089591</v>
      </c>
    </row>
    <row r="74" spans="1:10" ht="21" customHeight="1" x14ac:dyDescent="0.25">
      <c r="A74" s="61"/>
      <c r="B74" s="61"/>
      <c r="C74" s="61"/>
      <c r="D74" s="63">
        <f>SUM(D67:D73)</f>
        <v>181507.47999999998</v>
      </c>
      <c r="I74" s="63">
        <f t="shared" ref="I74:J74" si="18">SUM(I67:I73)</f>
        <v>32709.763717375572</v>
      </c>
      <c r="J74" s="63">
        <f t="shared" si="18"/>
        <v>214217.24371737556</v>
      </c>
    </row>
  </sheetData>
  <autoFilter ref="A65:D65">
    <sortState ref="A68:D73">
      <sortCondition ref="B65"/>
    </sortState>
  </autoFilter>
  <mergeCells count="39">
    <mergeCell ref="A2:E2"/>
    <mergeCell ref="A10:C10"/>
    <mergeCell ref="A21:D21"/>
    <mergeCell ref="A44:J44"/>
    <mergeCell ref="A45:A46"/>
    <mergeCell ref="B45:B46"/>
    <mergeCell ref="C45:C46"/>
    <mergeCell ref="D45:D46"/>
    <mergeCell ref="E45:E46"/>
    <mergeCell ref="F45:F46"/>
    <mergeCell ref="G45:G46"/>
    <mergeCell ref="I45:I46"/>
    <mergeCell ref="J45:J46"/>
    <mergeCell ref="F2:I2"/>
    <mergeCell ref="H23:J23"/>
    <mergeCell ref="L46:N46"/>
    <mergeCell ref="F56:F59"/>
    <mergeCell ref="G56:G59"/>
    <mergeCell ref="A53:J53"/>
    <mergeCell ref="A54:A55"/>
    <mergeCell ref="B54:B55"/>
    <mergeCell ref="C54:C55"/>
    <mergeCell ref="D54:D55"/>
    <mergeCell ref="E54:E55"/>
    <mergeCell ref="F54:F55"/>
    <mergeCell ref="G54:G55"/>
    <mergeCell ref="I54:I55"/>
    <mergeCell ref="J54:J55"/>
    <mergeCell ref="G47:G50"/>
    <mergeCell ref="I65:I66"/>
    <mergeCell ref="F65:F66"/>
    <mergeCell ref="F67:F73"/>
    <mergeCell ref="G67:G73"/>
    <mergeCell ref="A65:A66"/>
    <mergeCell ref="B65:B66"/>
    <mergeCell ref="C65:C66"/>
    <mergeCell ref="D65:D66"/>
    <mergeCell ref="E65:E66"/>
    <mergeCell ref="G65:G66"/>
  </mergeCells>
  <phoneticPr fontId="21" type="noConversion"/>
  <dataValidations count="3">
    <dataValidation type="list" allowBlank="1" showInputMessage="1" showErrorMessage="1" sqref="H46 H55 H66">
      <formula1>$L$47:$L$51</formula1>
    </dataValidation>
    <dataValidation type="list" allowBlank="1" showInputMessage="1" showErrorMessage="1" sqref="G47:G50 G56:G59 G67:G70">
      <formula1>"01/03/2022,15/03/2022,02/09/2021,15/09/2022"</formula1>
    </dataValidation>
    <dataValidation type="list" allowBlank="1" showInputMessage="1" showErrorMessage="1" sqref="J66">
      <formula1>"Tasa Contractual,Tasa Morigerada"</formula1>
    </dataValidation>
  </dataValidations>
  <pageMargins left="0.7" right="0.7" top="0.75" bottom="0.75" header="0.3" footer="0.3"/>
  <pageSetup paperSize="9" orientation="portrait" horizontalDpi="0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1"/>
  <sheetViews>
    <sheetView workbookViewId="0">
      <pane ySplit="1" topLeftCell="A2" activePane="bottomLeft" state="frozen"/>
      <selection pane="bottomLeft" activeCell="H181" sqref="H181"/>
    </sheetView>
  </sheetViews>
  <sheetFormatPr baseColWidth="10" defaultColWidth="11.42578125" defaultRowHeight="15" x14ac:dyDescent="0.25"/>
  <cols>
    <col min="1" max="1" width="13" style="24" customWidth="1"/>
    <col min="2" max="2" width="10.42578125" style="25" customWidth="1"/>
    <col min="3" max="9" width="9.140625" style="25" customWidth="1"/>
    <col min="10" max="16384" width="11.42578125" style="25"/>
  </cols>
  <sheetData>
    <row r="1" spans="1:9" s="21" customFormat="1" ht="20.100000000000001" customHeight="1" x14ac:dyDescent="0.2">
      <c r="A1" s="20" t="s">
        <v>40</v>
      </c>
      <c r="B1" s="20" t="s">
        <v>41</v>
      </c>
      <c r="C1" s="20" t="s">
        <v>42</v>
      </c>
      <c r="D1" s="20" t="s">
        <v>43</v>
      </c>
      <c r="E1" s="20" t="s">
        <v>44</v>
      </c>
      <c r="F1" s="20" t="s">
        <v>45</v>
      </c>
      <c r="G1" s="20" t="s">
        <v>46</v>
      </c>
      <c r="H1" s="20" t="s">
        <v>47</v>
      </c>
      <c r="I1" s="20" t="s">
        <v>48</v>
      </c>
    </row>
    <row r="2" spans="1:9" s="21" customFormat="1" ht="20.100000000000001" customHeight="1" x14ac:dyDescent="0.2">
      <c r="A2" s="22">
        <v>43102</v>
      </c>
      <c r="B2" s="23" t="s">
        <v>49</v>
      </c>
      <c r="C2" s="23">
        <v>1.4375</v>
      </c>
      <c r="D2" s="23">
        <v>1.48038</v>
      </c>
      <c r="E2" s="23">
        <v>1.56175</v>
      </c>
      <c r="F2" s="23">
        <v>1.62205</v>
      </c>
      <c r="G2" s="23">
        <v>1.69693</v>
      </c>
      <c r="H2" s="23">
        <v>1.83938</v>
      </c>
      <c r="I2" s="23">
        <v>2.1093299999999999</v>
      </c>
    </row>
    <row r="3" spans="1:9" s="21" customFormat="1" ht="20.100000000000001" customHeight="1" x14ac:dyDescent="0.2">
      <c r="A3" s="22">
        <v>43103</v>
      </c>
      <c r="B3" s="23" t="s">
        <v>50</v>
      </c>
      <c r="C3" s="23">
        <v>1.43875</v>
      </c>
      <c r="D3" s="23">
        <v>1.4718800000000001</v>
      </c>
      <c r="E3" s="23">
        <v>1.55688</v>
      </c>
      <c r="F3" s="23">
        <v>1.6204099999999999</v>
      </c>
      <c r="G3" s="23">
        <v>1.6959299999999999</v>
      </c>
      <c r="H3" s="23">
        <v>1.8426899999999999</v>
      </c>
      <c r="I3" s="23">
        <v>2.11782</v>
      </c>
    </row>
    <row r="4" spans="1:9" s="21" customFormat="1" ht="20.100000000000001" customHeight="1" x14ac:dyDescent="0.2">
      <c r="A4" s="22">
        <v>43104</v>
      </c>
      <c r="B4" s="23" t="s">
        <v>51</v>
      </c>
      <c r="C4" s="23">
        <v>1.4375</v>
      </c>
      <c r="D4" s="23">
        <v>1.4697100000000001</v>
      </c>
      <c r="E4" s="23">
        <v>1.5549999999999999</v>
      </c>
      <c r="F4" s="23">
        <v>1.6206799999999999</v>
      </c>
      <c r="G4" s="23">
        <v>1.70381</v>
      </c>
      <c r="H4" s="23">
        <v>1.8583099999999999</v>
      </c>
      <c r="I4" s="23">
        <v>2.1383399999999999</v>
      </c>
    </row>
    <row r="5" spans="1:9" s="21" customFormat="1" ht="20.100000000000001" customHeight="1" x14ac:dyDescent="0.2">
      <c r="A5" s="22">
        <v>43105</v>
      </c>
      <c r="B5" s="23" t="s">
        <v>52</v>
      </c>
      <c r="C5" s="23">
        <v>1.4375</v>
      </c>
      <c r="D5" s="23">
        <v>1.4697</v>
      </c>
      <c r="E5" s="23">
        <v>1.5525</v>
      </c>
      <c r="F5" s="23">
        <v>1.6219399999999999</v>
      </c>
      <c r="G5" s="23">
        <v>1.7039299999999999</v>
      </c>
      <c r="H5" s="23">
        <v>1.86507</v>
      </c>
      <c r="I5" s="23">
        <v>2.1495299999999999</v>
      </c>
    </row>
    <row r="6" spans="1:9" s="21" customFormat="1" ht="20.100000000000001" customHeight="1" x14ac:dyDescent="0.2">
      <c r="A6" s="22">
        <v>43108</v>
      </c>
      <c r="B6" s="23" t="s">
        <v>53</v>
      </c>
      <c r="C6" s="23">
        <v>1.4375</v>
      </c>
      <c r="D6" s="23">
        <v>1.4683200000000001</v>
      </c>
      <c r="E6" s="23">
        <v>1.55375</v>
      </c>
      <c r="F6" s="23">
        <v>1.6237200000000001</v>
      </c>
      <c r="G6" s="23">
        <v>1.7080200000000001</v>
      </c>
      <c r="H6" s="23">
        <v>1.8652899999999999</v>
      </c>
      <c r="I6" s="23">
        <v>2.1507499999999999</v>
      </c>
    </row>
    <row r="7" spans="1:9" s="21" customFormat="1" ht="20.100000000000001" customHeight="1" x14ac:dyDescent="0.2">
      <c r="A7" s="22">
        <v>43109</v>
      </c>
      <c r="B7" s="23" t="s">
        <v>49</v>
      </c>
      <c r="C7" s="23">
        <v>1.4375</v>
      </c>
      <c r="D7" s="23">
        <v>1.46438</v>
      </c>
      <c r="E7" s="23">
        <v>1.55375</v>
      </c>
      <c r="F7" s="23">
        <v>1.625</v>
      </c>
      <c r="G7" s="23">
        <v>1.7045699999999999</v>
      </c>
      <c r="H7" s="23">
        <v>1.8651899999999999</v>
      </c>
      <c r="I7" s="23">
        <v>2.1463299999999998</v>
      </c>
    </row>
    <row r="8" spans="1:9" s="21" customFormat="1" ht="20.100000000000001" customHeight="1" x14ac:dyDescent="0.2">
      <c r="A8" s="22">
        <v>43110</v>
      </c>
      <c r="B8" s="23" t="s">
        <v>50</v>
      </c>
      <c r="C8" s="23">
        <v>1.43625</v>
      </c>
      <c r="D8" s="23">
        <v>1.4646999999999999</v>
      </c>
      <c r="E8" s="23">
        <v>1.55375</v>
      </c>
      <c r="F8" s="23">
        <v>1.6271</v>
      </c>
      <c r="G8" s="23">
        <v>1.7091099999999999</v>
      </c>
      <c r="H8" s="23">
        <v>1.87144</v>
      </c>
      <c r="I8" s="23">
        <v>2.1555200000000001</v>
      </c>
    </row>
    <row r="9" spans="1:9" s="21" customFormat="1" ht="20.100000000000001" customHeight="1" x14ac:dyDescent="0.2">
      <c r="A9" s="22">
        <v>43111</v>
      </c>
      <c r="B9" s="23" t="s">
        <v>51</v>
      </c>
      <c r="C9" s="23">
        <v>1.4375</v>
      </c>
      <c r="D9" s="23">
        <v>1.46438</v>
      </c>
      <c r="E9" s="23">
        <v>1.55945</v>
      </c>
      <c r="F9" s="23">
        <v>1.63063</v>
      </c>
      <c r="G9" s="23">
        <v>1.7201900000000001</v>
      </c>
      <c r="H9" s="23">
        <v>1.8802700000000001</v>
      </c>
      <c r="I9" s="23">
        <v>2.1640600000000001</v>
      </c>
    </row>
    <row r="10" spans="1:9" s="21" customFormat="1" ht="20.100000000000001" customHeight="1" x14ac:dyDescent="0.2">
      <c r="A10" s="22">
        <v>43112</v>
      </c>
      <c r="B10" s="23" t="s">
        <v>52</v>
      </c>
      <c r="C10" s="23">
        <v>1.4375</v>
      </c>
      <c r="D10" s="23">
        <v>1.4658100000000001</v>
      </c>
      <c r="E10" s="23">
        <v>1.5594699999999999</v>
      </c>
      <c r="F10" s="23">
        <v>1.6306499999999999</v>
      </c>
      <c r="G10" s="23">
        <v>1.7215199999999999</v>
      </c>
      <c r="H10" s="23">
        <v>1.8876900000000001</v>
      </c>
      <c r="I10" s="23">
        <v>2.17313</v>
      </c>
    </row>
    <row r="11" spans="1:9" s="21" customFormat="1" ht="20.100000000000001" customHeight="1" x14ac:dyDescent="0.2">
      <c r="A11" s="22">
        <v>43115</v>
      </c>
      <c r="B11" s="23" t="s">
        <v>53</v>
      </c>
      <c r="C11" s="23"/>
      <c r="D11" s="23">
        <v>1.4659599999999999</v>
      </c>
      <c r="E11" s="23">
        <v>1.5561400000000001</v>
      </c>
      <c r="F11" s="23">
        <v>1.6325499999999999</v>
      </c>
      <c r="G11" s="23">
        <v>1.73133</v>
      </c>
      <c r="H11" s="23">
        <v>1.8987499999999999</v>
      </c>
      <c r="I11" s="23">
        <v>2.1886899999999998</v>
      </c>
    </row>
    <row r="12" spans="1:9" s="21" customFormat="1" ht="20.100000000000001" customHeight="1" x14ac:dyDescent="0.2">
      <c r="A12" s="22">
        <v>43116</v>
      </c>
      <c r="B12" s="23" t="s">
        <v>49</v>
      </c>
      <c r="C12" s="23">
        <v>1.43875</v>
      </c>
      <c r="D12" s="23">
        <v>1.4660599999999999</v>
      </c>
      <c r="E12" s="23">
        <v>1.55613</v>
      </c>
      <c r="F12" s="23">
        <v>1.6328</v>
      </c>
      <c r="G12" s="23">
        <v>1.7340800000000001</v>
      </c>
      <c r="H12" s="23">
        <v>1.9040600000000001</v>
      </c>
      <c r="I12" s="23">
        <v>2.19563</v>
      </c>
    </row>
    <row r="13" spans="1:9" s="21" customFormat="1" ht="20.100000000000001" customHeight="1" x14ac:dyDescent="0.2">
      <c r="A13" s="22">
        <v>43117</v>
      </c>
      <c r="B13" s="23" t="s">
        <v>50</v>
      </c>
      <c r="C13" s="23">
        <v>1.4375</v>
      </c>
      <c r="D13" s="23">
        <v>1.4653400000000001</v>
      </c>
      <c r="E13" s="23">
        <v>1.5575000000000001</v>
      </c>
      <c r="F13" s="23">
        <v>1.6347799999999999</v>
      </c>
      <c r="G13" s="23">
        <v>1.7391799999999999</v>
      </c>
      <c r="H13" s="23">
        <v>1.913</v>
      </c>
      <c r="I13" s="23">
        <v>2.2143799999999998</v>
      </c>
    </row>
    <row r="14" spans="1:9" s="21" customFormat="1" ht="20.100000000000001" customHeight="1" x14ac:dyDescent="0.2">
      <c r="A14" s="22">
        <v>43118</v>
      </c>
      <c r="B14" s="23" t="s">
        <v>51</v>
      </c>
      <c r="C14" s="23">
        <v>1.4375</v>
      </c>
      <c r="D14" s="23">
        <v>1.46533</v>
      </c>
      <c r="E14" s="23">
        <v>1.56118</v>
      </c>
      <c r="F14" s="23">
        <v>1.6348199999999999</v>
      </c>
      <c r="G14" s="23">
        <v>1.7446999999999999</v>
      </c>
      <c r="H14" s="23">
        <v>1.9255</v>
      </c>
      <c r="I14" s="23">
        <v>2.2275</v>
      </c>
    </row>
    <row r="15" spans="1:9" s="21" customFormat="1" ht="20.100000000000001" customHeight="1" x14ac:dyDescent="0.2">
      <c r="A15" s="22">
        <v>43119</v>
      </c>
      <c r="B15" s="23" t="s">
        <v>52</v>
      </c>
      <c r="C15" s="23">
        <v>1.4375</v>
      </c>
      <c r="D15" s="23">
        <v>1.4659599999999999</v>
      </c>
      <c r="E15" s="23">
        <v>1.56128</v>
      </c>
      <c r="F15" s="23">
        <v>1.6347499999999999</v>
      </c>
      <c r="G15" s="23">
        <v>1.74447</v>
      </c>
      <c r="H15" s="23">
        <v>1.9317500000000001</v>
      </c>
      <c r="I15" s="23">
        <v>2.2275</v>
      </c>
    </row>
    <row r="16" spans="1:9" s="21" customFormat="1" ht="20.100000000000001" customHeight="1" x14ac:dyDescent="0.2">
      <c r="A16" s="22">
        <v>43122</v>
      </c>
      <c r="B16" s="23" t="s">
        <v>53</v>
      </c>
      <c r="C16" s="23">
        <v>1.4375</v>
      </c>
      <c r="D16" s="23">
        <v>1.4658599999999999</v>
      </c>
      <c r="E16" s="23">
        <v>1.5601400000000001</v>
      </c>
      <c r="F16" s="23">
        <v>1.63934</v>
      </c>
      <c r="G16" s="23">
        <v>1.7413000000000001</v>
      </c>
      <c r="H16" s="23">
        <v>1.9255</v>
      </c>
      <c r="I16" s="23">
        <v>2.2278099999999998</v>
      </c>
    </row>
    <row r="17" spans="1:9" s="21" customFormat="1" ht="20.100000000000001" customHeight="1" x14ac:dyDescent="0.2">
      <c r="A17" s="22">
        <v>43123</v>
      </c>
      <c r="B17" s="23" t="s">
        <v>49</v>
      </c>
      <c r="C17" s="23">
        <v>1.4375</v>
      </c>
      <c r="D17" s="23">
        <v>1.46563</v>
      </c>
      <c r="E17" s="23">
        <v>1.56135</v>
      </c>
      <c r="F17" s="23">
        <v>1.63934</v>
      </c>
      <c r="G17" s="23">
        <v>1.7452000000000001</v>
      </c>
      <c r="H17" s="23">
        <v>1.9284399999999999</v>
      </c>
      <c r="I17" s="23">
        <v>2.2246899999999998</v>
      </c>
    </row>
    <row r="18" spans="1:9" s="21" customFormat="1" ht="20.100000000000001" customHeight="1" x14ac:dyDescent="0.2">
      <c r="A18" s="22">
        <v>43124</v>
      </c>
      <c r="B18" s="23" t="s">
        <v>50</v>
      </c>
      <c r="C18" s="23">
        <v>1.4375</v>
      </c>
      <c r="D18" s="23">
        <v>1.4650000000000001</v>
      </c>
      <c r="E18" s="23">
        <v>1.5613699999999999</v>
      </c>
      <c r="F18" s="23">
        <v>1.63954</v>
      </c>
      <c r="G18" s="23">
        <v>1.7524599999999999</v>
      </c>
      <c r="H18" s="23">
        <v>1.9373800000000001</v>
      </c>
      <c r="I18" s="23">
        <v>2.2306300000000001</v>
      </c>
    </row>
    <row r="19" spans="1:9" s="21" customFormat="1" ht="20.100000000000001" customHeight="1" x14ac:dyDescent="0.2">
      <c r="A19" s="22">
        <v>43125</v>
      </c>
      <c r="B19" s="23" t="s">
        <v>51</v>
      </c>
      <c r="C19" s="23">
        <v>1.4381299999999999</v>
      </c>
      <c r="D19" s="23">
        <v>1.4681299999999999</v>
      </c>
      <c r="E19" s="23">
        <v>1.5669299999999999</v>
      </c>
      <c r="F19" s="23">
        <v>1.6500600000000001</v>
      </c>
      <c r="G19" s="23">
        <v>1.76031</v>
      </c>
      <c r="H19" s="23">
        <v>1.9496899999999999</v>
      </c>
      <c r="I19" s="23">
        <v>2.2406299999999999</v>
      </c>
    </row>
    <row r="20" spans="1:9" s="21" customFormat="1" ht="20.100000000000001" customHeight="1" x14ac:dyDescent="0.2">
      <c r="A20" s="22">
        <v>43126</v>
      </c>
      <c r="B20" s="23" t="s">
        <v>52</v>
      </c>
      <c r="C20" s="23">
        <v>1.4381299999999999</v>
      </c>
      <c r="D20" s="23">
        <v>1.4675</v>
      </c>
      <c r="E20" s="23">
        <v>1.5677700000000001</v>
      </c>
      <c r="F20" s="23">
        <v>1.6514</v>
      </c>
      <c r="G20" s="23">
        <v>1.7668999999999999</v>
      </c>
      <c r="H20" s="23">
        <v>1.9596499999999999</v>
      </c>
      <c r="I20" s="23">
        <v>2.24594</v>
      </c>
    </row>
    <row r="21" spans="1:9" s="21" customFormat="1" ht="20.100000000000001" customHeight="1" x14ac:dyDescent="0.2">
      <c r="A21" s="22">
        <v>43129</v>
      </c>
      <c r="B21" s="23" t="s">
        <v>53</v>
      </c>
      <c r="C21" s="23">
        <v>1.4393800000000001</v>
      </c>
      <c r="D21" s="23">
        <v>1.4675</v>
      </c>
      <c r="E21" s="23">
        <v>1.57345</v>
      </c>
      <c r="F21" s="23">
        <v>1.6536299999999999</v>
      </c>
      <c r="G21" s="23">
        <v>1.7722500000000001</v>
      </c>
      <c r="H21" s="23">
        <v>1.96719</v>
      </c>
      <c r="I21" s="23">
        <v>2.2640600000000002</v>
      </c>
    </row>
    <row r="22" spans="1:9" s="21" customFormat="1" ht="20.100000000000001" customHeight="1" x14ac:dyDescent="0.2">
      <c r="A22" s="22">
        <v>43130</v>
      </c>
      <c r="B22" s="23" t="s">
        <v>49</v>
      </c>
      <c r="C22" s="23">
        <v>1.4393800000000001</v>
      </c>
      <c r="D22" s="23">
        <v>1.46875</v>
      </c>
      <c r="E22" s="23">
        <v>1.5747</v>
      </c>
      <c r="F22" s="23">
        <v>1.65761</v>
      </c>
      <c r="G22" s="23">
        <v>1.7734000000000001</v>
      </c>
      <c r="H22" s="23">
        <v>1.9662500000000001</v>
      </c>
      <c r="I22" s="23">
        <v>2.2631299999999999</v>
      </c>
    </row>
    <row r="23" spans="1:9" s="21" customFormat="1" ht="20.100000000000001" customHeight="1" x14ac:dyDescent="0.2">
      <c r="A23" s="22">
        <v>43131</v>
      </c>
      <c r="B23" s="23" t="s">
        <v>50</v>
      </c>
      <c r="C23" s="23">
        <v>1.4393800000000001</v>
      </c>
      <c r="D23" s="23">
        <v>1.47011</v>
      </c>
      <c r="E23" s="23">
        <v>1.5797000000000001</v>
      </c>
      <c r="F23" s="23">
        <v>1.6589400000000001</v>
      </c>
      <c r="G23" s="23">
        <v>1.7777700000000001</v>
      </c>
      <c r="H23" s="23">
        <v>1.9662500000000001</v>
      </c>
      <c r="I23" s="23">
        <v>2.2667099999999998</v>
      </c>
    </row>
    <row r="24" spans="1:9" s="21" customFormat="1" ht="20.100000000000001" customHeight="1" x14ac:dyDescent="0.2">
      <c r="A24" s="22">
        <v>43132</v>
      </c>
      <c r="B24" s="23" t="s">
        <v>51</v>
      </c>
      <c r="C24" s="23">
        <v>1.4437500000000001</v>
      </c>
      <c r="D24" s="23">
        <v>1.46963</v>
      </c>
      <c r="E24" s="23">
        <v>1.5794600000000001</v>
      </c>
      <c r="F24" s="23">
        <v>1.6672400000000001</v>
      </c>
      <c r="G24" s="23">
        <v>1.78698</v>
      </c>
      <c r="H24" s="23">
        <v>1.9830000000000001</v>
      </c>
      <c r="I24" s="23">
        <v>2.29278</v>
      </c>
    </row>
    <row r="25" spans="1:9" s="21" customFormat="1" ht="20.100000000000001" customHeight="1" x14ac:dyDescent="0.2">
      <c r="A25" s="22">
        <v>43133</v>
      </c>
      <c r="B25" s="23" t="s">
        <v>52</v>
      </c>
      <c r="C25" s="23">
        <v>1.4437500000000001</v>
      </c>
      <c r="D25" s="23">
        <v>1.4686900000000001</v>
      </c>
      <c r="E25" s="23">
        <v>1.5795699999999999</v>
      </c>
      <c r="F25" s="23">
        <v>1.66899</v>
      </c>
      <c r="G25" s="23">
        <v>1.7890200000000001</v>
      </c>
      <c r="H25" s="23">
        <v>1.99214</v>
      </c>
      <c r="I25" s="23">
        <v>2.2905099999999998</v>
      </c>
    </row>
    <row r="26" spans="1:9" s="21" customFormat="1" ht="20.100000000000001" customHeight="1" x14ac:dyDescent="0.2">
      <c r="A26" s="22">
        <v>43136</v>
      </c>
      <c r="B26" s="23" t="s">
        <v>53</v>
      </c>
      <c r="C26" s="23">
        <v>1.4393800000000001</v>
      </c>
      <c r="D26" s="23">
        <v>1.46871</v>
      </c>
      <c r="E26" s="23">
        <v>1.5800700000000001</v>
      </c>
      <c r="F26" s="23">
        <v>1.67333</v>
      </c>
      <c r="G26" s="23">
        <v>1.79345</v>
      </c>
      <c r="H26" s="23">
        <v>2.0007999999999999</v>
      </c>
      <c r="I26" s="23">
        <v>2.2930899999999999</v>
      </c>
    </row>
    <row r="27" spans="1:9" s="21" customFormat="1" ht="20.100000000000001" customHeight="1" x14ac:dyDescent="0.2">
      <c r="A27" s="22">
        <v>43137</v>
      </c>
      <c r="B27" s="23" t="s">
        <v>49</v>
      </c>
      <c r="C27" s="23">
        <v>1.43875</v>
      </c>
      <c r="D27" s="23">
        <v>1.46875</v>
      </c>
      <c r="E27" s="23">
        <v>1.5792600000000001</v>
      </c>
      <c r="F27" s="23">
        <v>1.6714899999999999</v>
      </c>
      <c r="G27" s="23">
        <v>1.7907</v>
      </c>
      <c r="H27" s="23">
        <v>1.9918800000000001</v>
      </c>
      <c r="I27" s="23">
        <v>2.2782499999999999</v>
      </c>
    </row>
    <row r="28" spans="1:9" s="21" customFormat="1" ht="20.100000000000001" customHeight="1" x14ac:dyDescent="0.2">
      <c r="A28" s="22">
        <v>43138</v>
      </c>
      <c r="B28" s="23" t="s">
        <v>50</v>
      </c>
      <c r="C28" s="23">
        <v>1.43875</v>
      </c>
      <c r="D28" s="23">
        <v>1.46875</v>
      </c>
      <c r="E28" s="23">
        <v>1.5793200000000001</v>
      </c>
      <c r="F28" s="23">
        <v>1.6724399999999999</v>
      </c>
      <c r="G28" s="23">
        <v>1.79989</v>
      </c>
      <c r="H28" s="23">
        <v>2.0043799999999998</v>
      </c>
      <c r="I28" s="23">
        <v>2.2858800000000001</v>
      </c>
    </row>
    <row r="29" spans="1:9" s="21" customFormat="1" ht="20.100000000000001" customHeight="1" x14ac:dyDescent="0.2">
      <c r="A29" s="22">
        <v>43139</v>
      </c>
      <c r="B29" s="23" t="s">
        <v>51</v>
      </c>
      <c r="C29" s="23">
        <v>1.43875</v>
      </c>
      <c r="D29" s="23">
        <v>1.46861</v>
      </c>
      <c r="E29" s="23">
        <v>1.58077</v>
      </c>
      <c r="F29" s="23">
        <v>1.6832400000000001</v>
      </c>
      <c r="G29" s="23">
        <v>1.8105</v>
      </c>
      <c r="H29" s="23">
        <v>2.0263300000000002</v>
      </c>
      <c r="I29" s="23">
        <v>2.2980900000000002</v>
      </c>
    </row>
    <row r="30" spans="1:9" s="21" customFormat="1" ht="20.100000000000001" customHeight="1" x14ac:dyDescent="0.2">
      <c r="A30" s="22">
        <v>43140</v>
      </c>
      <c r="B30" s="23" t="s">
        <v>52</v>
      </c>
      <c r="C30" s="23">
        <v>1.44</v>
      </c>
      <c r="D30" s="23">
        <v>1.4693799999999999</v>
      </c>
      <c r="E30" s="23">
        <v>1.5831999999999999</v>
      </c>
      <c r="F30" s="23">
        <v>1.68886</v>
      </c>
      <c r="G30" s="23">
        <v>1.82</v>
      </c>
      <c r="H30" s="23">
        <v>2.0383100000000001</v>
      </c>
      <c r="I30" s="23">
        <v>2.3134899999999998</v>
      </c>
    </row>
    <row r="31" spans="1:9" s="21" customFormat="1" ht="20.100000000000001" customHeight="1" x14ac:dyDescent="0.2">
      <c r="A31" s="22">
        <v>43143</v>
      </c>
      <c r="B31" s="23" t="s">
        <v>53</v>
      </c>
      <c r="C31" s="23">
        <v>1.4424999999999999</v>
      </c>
      <c r="D31" s="23">
        <v>1.4693799999999999</v>
      </c>
      <c r="E31" s="23">
        <v>1.5874999999999999</v>
      </c>
      <c r="F31" s="23">
        <v>1.69879</v>
      </c>
      <c r="G31" s="23">
        <v>1.83338</v>
      </c>
      <c r="H31" s="23">
        <v>2.0486300000000002</v>
      </c>
      <c r="I31" s="23">
        <v>2.3190599999999999</v>
      </c>
    </row>
    <row r="32" spans="1:9" s="21" customFormat="1" ht="20.100000000000001" customHeight="1" x14ac:dyDescent="0.2">
      <c r="A32" s="22">
        <v>43144</v>
      </c>
      <c r="B32" s="23" t="s">
        <v>49</v>
      </c>
      <c r="C32" s="23">
        <v>1.4437500000000001</v>
      </c>
      <c r="D32" s="23">
        <v>1.4706300000000001</v>
      </c>
      <c r="E32" s="23">
        <v>1.5874999999999999</v>
      </c>
      <c r="F32" s="23">
        <v>1.6994899999999999</v>
      </c>
      <c r="G32" s="23">
        <v>1.8387500000000001</v>
      </c>
      <c r="H32" s="23">
        <v>2.05715</v>
      </c>
      <c r="I32" s="23">
        <v>2.3268800000000001</v>
      </c>
    </row>
    <row r="33" spans="1:9" s="21" customFormat="1" ht="20.100000000000001" customHeight="1" x14ac:dyDescent="0.2">
      <c r="A33" s="22">
        <v>43145</v>
      </c>
      <c r="B33" s="23" t="s">
        <v>50</v>
      </c>
      <c r="C33" s="23">
        <v>1.4437500000000001</v>
      </c>
      <c r="D33" s="23">
        <v>1.4718800000000001</v>
      </c>
      <c r="E33" s="23">
        <v>1.58813</v>
      </c>
      <c r="F33" s="23">
        <v>1.7059299999999999</v>
      </c>
      <c r="G33" s="23">
        <v>1.85</v>
      </c>
      <c r="H33" s="23">
        <v>2.0628299999999999</v>
      </c>
      <c r="I33" s="23">
        <v>2.3384399999999999</v>
      </c>
    </row>
    <row r="34" spans="1:9" s="21" customFormat="1" ht="20.100000000000001" customHeight="1" x14ac:dyDescent="0.2">
      <c r="A34" s="22">
        <v>43146</v>
      </c>
      <c r="B34" s="23" t="s">
        <v>51</v>
      </c>
      <c r="C34" s="23">
        <v>1.4437500000000001</v>
      </c>
      <c r="D34" s="23">
        <v>1.4706300000000001</v>
      </c>
      <c r="E34" s="23">
        <v>1.59</v>
      </c>
      <c r="F34" s="23">
        <v>1.7226600000000001</v>
      </c>
      <c r="G34" s="23">
        <v>1.8725000000000001</v>
      </c>
      <c r="H34" s="23">
        <v>2.0964399999999999</v>
      </c>
      <c r="I34" s="23">
        <v>2.3812500000000001</v>
      </c>
    </row>
    <row r="35" spans="1:9" s="21" customFormat="1" ht="20.100000000000001" customHeight="1" x14ac:dyDescent="0.2">
      <c r="A35" s="22">
        <v>43147</v>
      </c>
      <c r="B35" s="23" t="s">
        <v>52</v>
      </c>
      <c r="C35" s="23">
        <v>1.4450000000000001</v>
      </c>
      <c r="D35" s="23">
        <v>1.4712499999999999</v>
      </c>
      <c r="E35" s="23">
        <v>1.59375</v>
      </c>
      <c r="F35" s="23">
        <v>1.7300599999999999</v>
      </c>
      <c r="G35" s="23">
        <v>1.8849400000000001</v>
      </c>
      <c r="H35" s="23">
        <v>2.1061299999999998</v>
      </c>
      <c r="I35" s="23">
        <v>2.3906299999999998</v>
      </c>
    </row>
    <row r="36" spans="1:9" s="21" customFormat="1" ht="20.100000000000001" customHeight="1" x14ac:dyDescent="0.2">
      <c r="A36" s="22">
        <v>43150</v>
      </c>
      <c r="B36" s="23" t="s">
        <v>53</v>
      </c>
      <c r="C36" s="23"/>
      <c r="D36" s="23">
        <v>1.4731300000000001</v>
      </c>
      <c r="E36" s="23">
        <v>1.5956300000000001</v>
      </c>
      <c r="F36" s="23">
        <v>1.7331099999999999</v>
      </c>
      <c r="G36" s="23">
        <v>1.8921300000000001</v>
      </c>
      <c r="H36" s="23">
        <v>2.11863</v>
      </c>
      <c r="I36" s="23">
        <v>2.3981300000000001</v>
      </c>
    </row>
    <row r="37" spans="1:9" s="21" customFormat="1" ht="20.100000000000001" customHeight="1" x14ac:dyDescent="0.2">
      <c r="A37" s="22">
        <v>43151</v>
      </c>
      <c r="B37" s="23" t="s">
        <v>49</v>
      </c>
      <c r="C37" s="23">
        <v>1.4450000000000001</v>
      </c>
      <c r="D37" s="23">
        <v>1.4724999999999999</v>
      </c>
      <c r="E37" s="23">
        <v>1.5956300000000001</v>
      </c>
      <c r="F37" s="23">
        <v>1.7421899999999999</v>
      </c>
      <c r="G37" s="23">
        <v>1.90394</v>
      </c>
      <c r="H37" s="23">
        <v>2.1286299999999998</v>
      </c>
      <c r="I37" s="23">
        <v>2.4084400000000001</v>
      </c>
    </row>
    <row r="38" spans="1:9" s="21" customFormat="1" ht="20.100000000000001" customHeight="1" x14ac:dyDescent="0.2">
      <c r="A38" s="22">
        <v>43152</v>
      </c>
      <c r="B38" s="23" t="s">
        <v>50</v>
      </c>
      <c r="C38" s="23">
        <v>1.4450000000000001</v>
      </c>
      <c r="D38" s="23">
        <v>1.4712499999999999</v>
      </c>
      <c r="E38" s="23">
        <v>1.6025100000000001</v>
      </c>
      <c r="F38" s="23">
        <v>1.7491399999999999</v>
      </c>
      <c r="G38" s="23">
        <v>1.9197500000000001</v>
      </c>
      <c r="H38" s="23">
        <v>2.1455000000000002</v>
      </c>
      <c r="I38" s="23">
        <v>2.42563</v>
      </c>
    </row>
    <row r="39" spans="1:9" s="21" customFormat="1" ht="20.100000000000001" customHeight="1" x14ac:dyDescent="0.2">
      <c r="A39" s="22">
        <v>43153</v>
      </c>
      <c r="B39" s="23" t="s">
        <v>51</v>
      </c>
      <c r="C39" s="23">
        <v>1.44438</v>
      </c>
      <c r="D39" s="23">
        <v>1.4712499999999999</v>
      </c>
      <c r="E39" s="23">
        <v>1.6207</v>
      </c>
      <c r="F39" s="23">
        <v>1.7639899999999999</v>
      </c>
      <c r="G39" s="23">
        <v>1.94363</v>
      </c>
      <c r="H39" s="23">
        <v>2.1680000000000001</v>
      </c>
      <c r="I39" s="23">
        <v>2.4496899999999999</v>
      </c>
    </row>
    <row r="40" spans="1:9" s="21" customFormat="1" ht="20.100000000000001" customHeight="1" x14ac:dyDescent="0.2">
      <c r="A40" s="22">
        <v>43154</v>
      </c>
      <c r="B40" s="23" t="s">
        <v>52</v>
      </c>
      <c r="C40" s="23">
        <v>1.4481299999999999</v>
      </c>
      <c r="D40" s="23">
        <v>1.4724999999999999</v>
      </c>
      <c r="E40" s="23">
        <v>1.6312</v>
      </c>
      <c r="F40" s="23">
        <v>1.7778099999999999</v>
      </c>
      <c r="G40" s="23">
        <v>1.95625</v>
      </c>
      <c r="H40" s="23">
        <v>2.18188</v>
      </c>
      <c r="I40" s="23">
        <v>2.4596900000000002</v>
      </c>
    </row>
    <row r="41" spans="1:9" s="21" customFormat="1" ht="20.100000000000001" customHeight="1" x14ac:dyDescent="0.2">
      <c r="A41" s="22">
        <v>43157</v>
      </c>
      <c r="B41" s="23" t="s">
        <v>53</v>
      </c>
      <c r="C41" s="23">
        <v>1.4475</v>
      </c>
      <c r="D41" s="23">
        <v>1.4737499999999999</v>
      </c>
      <c r="E41" s="23">
        <v>1.6479999999999999</v>
      </c>
      <c r="F41" s="23">
        <v>1.7889299999999999</v>
      </c>
      <c r="G41" s="23">
        <v>1.9841899999999999</v>
      </c>
      <c r="H41" s="23">
        <v>2.20113</v>
      </c>
      <c r="I41" s="23">
        <v>2.4693800000000001</v>
      </c>
    </row>
    <row r="42" spans="1:9" s="21" customFormat="1" ht="20.100000000000001" customHeight="1" x14ac:dyDescent="0.2">
      <c r="A42" s="22">
        <v>43158</v>
      </c>
      <c r="B42" s="23" t="s">
        <v>49</v>
      </c>
      <c r="C42" s="23">
        <v>1.4475</v>
      </c>
      <c r="D42" s="23">
        <v>1.4750000000000001</v>
      </c>
      <c r="E42" s="23">
        <v>1.66418</v>
      </c>
      <c r="F42" s="23">
        <v>1.8021400000000001</v>
      </c>
      <c r="G42" s="23">
        <v>2.0062500000000001</v>
      </c>
      <c r="H42" s="23">
        <v>2.2112500000000002</v>
      </c>
      <c r="I42" s="23">
        <v>2.4812500000000002</v>
      </c>
    </row>
    <row r="43" spans="1:9" s="21" customFormat="1" ht="20.100000000000001" customHeight="1" x14ac:dyDescent="0.2">
      <c r="A43" s="22">
        <v>43159</v>
      </c>
      <c r="B43" s="23" t="s">
        <v>50</v>
      </c>
      <c r="C43" s="23">
        <v>1.4424999999999999</v>
      </c>
      <c r="D43" s="23">
        <v>1.47875</v>
      </c>
      <c r="E43" s="23">
        <v>1.6700699999999999</v>
      </c>
      <c r="F43" s="23">
        <v>1.81399</v>
      </c>
      <c r="G43" s="23">
        <v>2.0171899999999998</v>
      </c>
      <c r="H43" s="23">
        <v>2.2237499999999999</v>
      </c>
      <c r="I43" s="23">
        <v>2.5021900000000001</v>
      </c>
    </row>
    <row r="44" spans="1:9" s="21" customFormat="1" ht="20.100000000000001" customHeight="1" x14ac:dyDescent="0.2">
      <c r="A44" s="22">
        <v>43160</v>
      </c>
      <c r="B44" s="23" t="s">
        <v>51</v>
      </c>
      <c r="C44" s="23">
        <v>1.44625</v>
      </c>
      <c r="D44" s="23">
        <v>1.4775</v>
      </c>
      <c r="E44" s="23">
        <v>1.6861999999999999</v>
      </c>
      <c r="F44" s="23">
        <v>1.8234900000000001</v>
      </c>
      <c r="G44" s="23">
        <v>2.0245700000000002</v>
      </c>
      <c r="H44" s="23">
        <v>2.2248800000000002</v>
      </c>
      <c r="I44" s="23">
        <v>2.5074999999999998</v>
      </c>
    </row>
    <row r="45" spans="1:9" s="21" customFormat="1" ht="20.100000000000001" customHeight="1" x14ac:dyDescent="0.2">
      <c r="A45" s="22">
        <v>43161</v>
      </c>
      <c r="B45" s="23" t="s">
        <v>52</v>
      </c>
      <c r="C45" s="23">
        <v>1.4475</v>
      </c>
      <c r="D45" s="23">
        <v>1.4778100000000001</v>
      </c>
      <c r="E45" s="23">
        <v>1.6904999999999999</v>
      </c>
      <c r="F45" s="23">
        <v>1.8268599999999999</v>
      </c>
      <c r="G45" s="23">
        <v>2.0251899999999998</v>
      </c>
      <c r="H45" s="23">
        <v>2.2284299999999999</v>
      </c>
      <c r="I45" s="23">
        <v>2.4966900000000001</v>
      </c>
    </row>
    <row r="46" spans="1:9" s="21" customFormat="1" ht="20.100000000000001" customHeight="1" x14ac:dyDescent="0.2">
      <c r="A46" s="22">
        <v>43164</v>
      </c>
      <c r="B46" s="23" t="s">
        <v>53</v>
      </c>
      <c r="C46" s="23">
        <v>1.4475</v>
      </c>
      <c r="D46" s="23">
        <v>1.4781299999999999</v>
      </c>
      <c r="E46" s="23">
        <v>1.7017</v>
      </c>
      <c r="F46" s="23">
        <v>1.83064</v>
      </c>
      <c r="G46" s="23">
        <v>2.0348999999999999</v>
      </c>
      <c r="H46" s="23">
        <v>2.2292900000000002</v>
      </c>
      <c r="I46" s="23">
        <v>2.4979399999999998</v>
      </c>
    </row>
    <row r="47" spans="1:9" s="21" customFormat="1" ht="20.100000000000001" customHeight="1" x14ac:dyDescent="0.2">
      <c r="A47" s="22">
        <v>43165</v>
      </c>
      <c r="B47" s="23" t="s">
        <v>49</v>
      </c>
      <c r="C47" s="23">
        <v>1.4468799999999999</v>
      </c>
      <c r="D47" s="23">
        <v>1.47875</v>
      </c>
      <c r="E47" s="23">
        <v>1.7113100000000001</v>
      </c>
      <c r="F47" s="23">
        <v>1.8419300000000001</v>
      </c>
      <c r="G47" s="23">
        <v>2.0472800000000002</v>
      </c>
      <c r="H47" s="23">
        <v>2.24051</v>
      </c>
      <c r="I47" s="23">
        <v>2.512</v>
      </c>
    </row>
    <row r="48" spans="1:9" s="21" customFormat="1" ht="20.100000000000001" customHeight="1" x14ac:dyDescent="0.2">
      <c r="A48" s="22">
        <v>43166</v>
      </c>
      <c r="B48" s="23" t="s">
        <v>50</v>
      </c>
      <c r="C48" s="23">
        <v>1.4468799999999999</v>
      </c>
      <c r="D48" s="23">
        <v>1.4821899999999999</v>
      </c>
      <c r="E48" s="23">
        <v>1.71794</v>
      </c>
      <c r="F48" s="23">
        <v>1.8486100000000001</v>
      </c>
      <c r="G48" s="23">
        <v>2.0572499999999998</v>
      </c>
      <c r="H48" s="23">
        <v>2.2454999999999998</v>
      </c>
      <c r="I48" s="23">
        <v>2.5185599999999999</v>
      </c>
    </row>
    <row r="49" spans="1:9" s="21" customFormat="1" ht="20.100000000000001" customHeight="1" x14ac:dyDescent="0.2">
      <c r="A49" s="22">
        <v>43167</v>
      </c>
      <c r="B49" s="23" t="s">
        <v>51</v>
      </c>
      <c r="C49" s="23">
        <v>1.4468799999999999</v>
      </c>
      <c r="D49" s="23">
        <v>1.48</v>
      </c>
      <c r="E49" s="23">
        <v>1.7395700000000001</v>
      </c>
      <c r="F49" s="23">
        <v>1.8605799999999999</v>
      </c>
      <c r="G49" s="23">
        <v>2.0714000000000001</v>
      </c>
      <c r="H49" s="23">
        <v>2.2592500000000002</v>
      </c>
      <c r="I49" s="23">
        <v>2.5326300000000002</v>
      </c>
    </row>
    <row r="50" spans="1:9" s="21" customFormat="1" ht="20.100000000000001" customHeight="1" x14ac:dyDescent="0.2">
      <c r="A50" s="22">
        <v>43168</v>
      </c>
      <c r="B50" s="23" t="s">
        <v>52</v>
      </c>
      <c r="C50" s="23">
        <v>1.4468799999999999</v>
      </c>
      <c r="D50" s="23">
        <v>1.4824999999999999</v>
      </c>
      <c r="E50" s="23">
        <v>1.7503200000000001</v>
      </c>
      <c r="F50" s="23">
        <v>1.8714500000000001</v>
      </c>
      <c r="G50" s="23">
        <v>2.0887500000000001</v>
      </c>
      <c r="H50" s="23">
        <v>2.2686299999999999</v>
      </c>
      <c r="I50" s="23">
        <v>2.5445000000000002</v>
      </c>
    </row>
    <row r="51" spans="1:9" s="21" customFormat="1" ht="20.100000000000001" customHeight="1" x14ac:dyDescent="0.2">
      <c r="A51" s="22">
        <v>43171</v>
      </c>
      <c r="B51" s="23" t="s">
        <v>53</v>
      </c>
      <c r="C51" s="23">
        <v>1.4450000000000001</v>
      </c>
      <c r="D51" s="23">
        <v>1.4834400000000001</v>
      </c>
      <c r="E51" s="23">
        <v>1.76495</v>
      </c>
      <c r="F51" s="23">
        <v>1.8803799999999999</v>
      </c>
      <c r="G51" s="23">
        <v>2.1068799999999999</v>
      </c>
      <c r="H51" s="23">
        <v>2.2867500000000001</v>
      </c>
      <c r="I51" s="23">
        <v>2.56263</v>
      </c>
    </row>
    <row r="52" spans="1:9" s="21" customFormat="1" ht="20.100000000000001" customHeight="1" x14ac:dyDescent="0.2">
      <c r="A52" s="22">
        <v>43172</v>
      </c>
      <c r="B52" s="23" t="s">
        <v>49</v>
      </c>
      <c r="C52" s="23">
        <v>1.4450000000000001</v>
      </c>
      <c r="D52" s="23">
        <v>1.48875</v>
      </c>
      <c r="E52" s="23">
        <v>1.7766</v>
      </c>
      <c r="F52" s="23">
        <v>1.8903799999999999</v>
      </c>
      <c r="G52" s="23">
        <v>2.1244999999999998</v>
      </c>
      <c r="H52" s="23">
        <v>2.3042500000000001</v>
      </c>
      <c r="I52" s="23">
        <v>2.5776300000000001</v>
      </c>
    </row>
    <row r="53" spans="1:9" s="21" customFormat="1" ht="20.100000000000001" customHeight="1" x14ac:dyDescent="0.2">
      <c r="A53" s="22">
        <v>43173</v>
      </c>
      <c r="B53" s="23" t="s">
        <v>50</v>
      </c>
      <c r="C53" s="23">
        <v>1.4450000000000001</v>
      </c>
      <c r="D53" s="23">
        <v>1.51563</v>
      </c>
      <c r="E53" s="23">
        <v>1.7863800000000001</v>
      </c>
      <c r="F53" s="23">
        <v>1.9007499999999999</v>
      </c>
      <c r="G53" s="23">
        <v>2.145</v>
      </c>
      <c r="H53" s="23">
        <v>2.3211300000000001</v>
      </c>
      <c r="I53" s="23">
        <v>2.5901299999999998</v>
      </c>
    </row>
    <row r="54" spans="1:9" s="21" customFormat="1" ht="20.100000000000001" customHeight="1" x14ac:dyDescent="0.2">
      <c r="A54" s="111">
        <v>43174</v>
      </c>
      <c r="B54" s="23" t="s">
        <v>51</v>
      </c>
      <c r="C54" s="23">
        <v>1.4450000000000001</v>
      </c>
      <c r="D54" s="23">
        <v>1.5890599999999999</v>
      </c>
      <c r="E54" s="23">
        <v>1.8082</v>
      </c>
      <c r="F54" s="23">
        <v>1.9161300000000001</v>
      </c>
      <c r="G54" s="23">
        <v>2.1775000000000002</v>
      </c>
      <c r="H54" s="112">
        <v>2.3417500000000002</v>
      </c>
      <c r="I54" s="23">
        <v>2.6013799999999998</v>
      </c>
    </row>
    <row r="55" spans="1:9" s="21" customFormat="1" ht="20.100000000000001" customHeight="1" x14ac:dyDescent="0.2">
      <c r="A55" s="22">
        <v>43175</v>
      </c>
      <c r="B55" s="23" t="s">
        <v>52</v>
      </c>
      <c r="C55" s="23">
        <v>1.44625</v>
      </c>
      <c r="D55" s="23">
        <v>1.63</v>
      </c>
      <c r="E55" s="23">
        <v>1.8220700000000001</v>
      </c>
      <c r="F55" s="23">
        <v>1.9345000000000001</v>
      </c>
      <c r="G55" s="23">
        <v>2.2017500000000001</v>
      </c>
      <c r="H55" s="23">
        <v>2.3636300000000001</v>
      </c>
      <c r="I55" s="23">
        <v>2.6145</v>
      </c>
    </row>
    <row r="56" spans="1:9" s="21" customFormat="1" ht="20.100000000000001" customHeight="1" x14ac:dyDescent="0.2">
      <c r="A56" s="22">
        <v>43178</v>
      </c>
      <c r="B56" s="23" t="s">
        <v>53</v>
      </c>
      <c r="C56" s="23">
        <v>1.4475</v>
      </c>
      <c r="D56" s="23">
        <v>1.6773400000000001</v>
      </c>
      <c r="E56" s="23">
        <v>1.84067</v>
      </c>
      <c r="F56" s="23">
        <v>1.94675</v>
      </c>
      <c r="G56" s="23">
        <v>2.2224900000000001</v>
      </c>
      <c r="H56" s="23">
        <v>2.3904999999999998</v>
      </c>
      <c r="I56" s="23">
        <v>2.6332499999999999</v>
      </c>
    </row>
    <row r="57" spans="1:9" s="21" customFormat="1" ht="20.100000000000001" customHeight="1" x14ac:dyDescent="0.2">
      <c r="A57" s="22">
        <v>43179</v>
      </c>
      <c r="B57" s="23" t="s">
        <v>49</v>
      </c>
      <c r="C57" s="23">
        <v>1.4475</v>
      </c>
      <c r="D57" s="23">
        <v>1.71088</v>
      </c>
      <c r="E57" s="23">
        <v>1.85382</v>
      </c>
      <c r="F57" s="23">
        <v>1.9610000000000001</v>
      </c>
      <c r="G57" s="23">
        <v>2.2481399999999998</v>
      </c>
      <c r="H57" s="23">
        <v>2.4098799999999998</v>
      </c>
      <c r="I57" s="23">
        <v>2.6513800000000001</v>
      </c>
    </row>
    <row r="58" spans="1:9" s="21" customFormat="1" ht="20.100000000000001" customHeight="1" x14ac:dyDescent="0.2">
      <c r="A58" s="22">
        <v>43180</v>
      </c>
      <c r="B58" s="23" t="s">
        <v>50</v>
      </c>
      <c r="C58" s="23">
        <v>1.44875</v>
      </c>
      <c r="D58" s="23">
        <v>1.73125</v>
      </c>
      <c r="E58" s="23">
        <v>1.8612500000000001</v>
      </c>
      <c r="F58" s="23">
        <v>1.97525</v>
      </c>
      <c r="G58" s="23">
        <v>2.27108</v>
      </c>
      <c r="H58" s="23">
        <v>2.4342199999999998</v>
      </c>
      <c r="I58" s="23">
        <v>2.67638</v>
      </c>
    </row>
    <row r="59" spans="1:9" s="21" customFormat="1" ht="20.100000000000001" customHeight="1" x14ac:dyDescent="0.2">
      <c r="A59" s="22">
        <v>43181</v>
      </c>
      <c r="B59" s="23" t="s">
        <v>51</v>
      </c>
      <c r="C59" s="23">
        <v>1.6975</v>
      </c>
      <c r="D59" s="23">
        <v>1.74163</v>
      </c>
      <c r="E59" s="23">
        <v>1.8714999999999999</v>
      </c>
      <c r="F59" s="23">
        <v>1.9915</v>
      </c>
      <c r="G59" s="23">
        <v>2.2855699999999999</v>
      </c>
      <c r="H59" s="23">
        <v>2.4472999999999998</v>
      </c>
      <c r="I59" s="23">
        <v>2.677</v>
      </c>
    </row>
    <row r="60" spans="1:9" s="21" customFormat="1" ht="20.100000000000001" customHeight="1" x14ac:dyDescent="0.2">
      <c r="A60" s="22">
        <v>43182</v>
      </c>
      <c r="B60" s="23" t="s">
        <v>52</v>
      </c>
      <c r="C60" s="23">
        <v>1.6975</v>
      </c>
      <c r="D60" s="23">
        <v>1.73688</v>
      </c>
      <c r="E60" s="23">
        <v>1.875</v>
      </c>
      <c r="F60" s="23">
        <v>1.9933799999999999</v>
      </c>
      <c r="G60" s="23">
        <v>2.29155</v>
      </c>
      <c r="H60" s="23">
        <v>2.4497100000000001</v>
      </c>
      <c r="I60" s="23">
        <v>2.6663800000000002</v>
      </c>
    </row>
    <row r="61" spans="1:9" s="21" customFormat="1" ht="20.100000000000001" customHeight="1" x14ac:dyDescent="0.2">
      <c r="A61" s="22">
        <v>43185</v>
      </c>
      <c r="B61" s="23" t="s">
        <v>53</v>
      </c>
      <c r="C61" s="23">
        <v>1.6975</v>
      </c>
      <c r="D61" s="23">
        <v>1.7362500000000001</v>
      </c>
      <c r="E61" s="23">
        <v>1.8768800000000001</v>
      </c>
      <c r="F61" s="23">
        <v>1.99688</v>
      </c>
      <c r="G61" s="23">
        <v>2.2949600000000001</v>
      </c>
      <c r="H61" s="23">
        <v>2.4538000000000002</v>
      </c>
      <c r="I61" s="23">
        <v>2.6720000000000002</v>
      </c>
    </row>
    <row r="62" spans="1:9" s="21" customFormat="1" ht="20.100000000000001" customHeight="1" x14ac:dyDescent="0.2">
      <c r="A62" s="22">
        <v>43186</v>
      </c>
      <c r="B62" s="23" t="s">
        <v>49</v>
      </c>
      <c r="C62" s="23">
        <v>1.6975</v>
      </c>
      <c r="D62" s="23">
        <v>1.73125</v>
      </c>
      <c r="E62" s="23">
        <v>1.8768800000000001</v>
      </c>
      <c r="F62" s="23">
        <v>1.99438</v>
      </c>
      <c r="G62" s="23">
        <v>2.302</v>
      </c>
      <c r="H62" s="23">
        <v>2.4529899999999998</v>
      </c>
      <c r="I62" s="23">
        <v>2.6713800000000001</v>
      </c>
    </row>
    <row r="63" spans="1:9" s="21" customFormat="1" ht="20.100000000000001" customHeight="1" x14ac:dyDescent="0.2">
      <c r="A63" s="22">
        <v>43187</v>
      </c>
      <c r="B63" s="23" t="s">
        <v>50</v>
      </c>
      <c r="C63" s="23">
        <v>1.69875</v>
      </c>
      <c r="D63" s="23">
        <v>1.73875</v>
      </c>
      <c r="E63" s="23">
        <v>1.8868799999999999</v>
      </c>
      <c r="F63" s="23">
        <v>2.0034399999999999</v>
      </c>
      <c r="G63" s="23">
        <v>2.3079999999999998</v>
      </c>
      <c r="H63" s="23">
        <v>2.4440300000000001</v>
      </c>
      <c r="I63" s="23">
        <v>2.6595</v>
      </c>
    </row>
    <row r="64" spans="1:9" s="21" customFormat="1" ht="20.100000000000001" customHeight="1" x14ac:dyDescent="0.2">
      <c r="A64" s="22">
        <v>43188</v>
      </c>
      <c r="B64" s="23" t="s">
        <v>51</v>
      </c>
      <c r="C64" s="23">
        <v>1.6968799999999999</v>
      </c>
      <c r="D64" s="23">
        <v>1.7450000000000001</v>
      </c>
      <c r="E64" s="23">
        <v>1.88313</v>
      </c>
      <c r="F64" s="23">
        <v>1.9994400000000001</v>
      </c>
      <c r="G64" s="23">
        <v>2.31175</v>
      </c>
      <c r="H64" s="23">
        <v>2.4523999999999999</v>
      </c>
      <c r="I64" s="23">
        <v>2.6626300000000001</v>
      </c>
    </row>
    <row r="65" spans="1:9" s="21" customFormat="1" ht="20.100000000000001" customHeight="1" x14ac:dyDescent="0.2">
      <c r="A65" s="22">
        <v>43193</v>
      </c>
      <c r="B65" s="23" t="s">
        <v>49</v>
      </c>
      <c r="C65" s="23">
        <v>1.6993799999999999</v>
      </c>
      <c r="D65" s="23">
        <v>1.7406299999999999</v>
      </c>
      <c r="E65" s="23">
        <v>1.8774999999999999</v>
      </c>
      <c r="F65" s="23">
        <v>1.9978800000000001</v>
      </c>
      <c r="G65" s="23">
        <v>2.32084</v>
      </c>
      <c r="H65" s="23">
        <v>2.4598800000000001</v>
      </c>
      <c r="I65" s="23">
        <v>2.67</v>
      </c>
    </row>
    <row r="66" spans="1:9" s="21" customFormat="1" ht="20.100000000000001" customHeight="1" x14ac:dyDescent="0.2">
      <c r="A66" s="22">
        <v>43194</v>
      </c>
      <c r="B66" s="23" t="s">
        <v>50</v>
      </c>
      <c r="C66" s="23">
        <v>1.7018800000000001</v>
      </c>
      <c r="D66" s="23">
        <v>1.7437499999999999</v>
      </c>
      <c r="E66" s="23">
        <v>1.89063</v>
      </c>
      <c r="F66" s="23">
        <v>2.0166300000000001</v>
      </c>
      <c r="G66" s="23">
        <v>2.3246099999999998</v>
      </c>
      <c r="H66" s="23">
        <v>2.46</v>
      </c>
      <c r="I66" s="23">
        <v>2.6809400000000001</v>
      </c>
    </row>
    <row r="67" spans="1:9" s="21" customFormat="1" ht="20.100000000000001" customHeight="1" x14ac:dyDescent="0.2">
      <c r="A67" s="22">
        <v>43195</v>
      </c>
      <c r="B67" s="23" t="s">
        <v>51</v>
      </c>
      <c r="C67" s="23">
        <v>1.70313</v>
      </c>
      <c r="D67" s="23">
        <v>1.7437499999999999</v>
      </c>
      <c r="E67" s="23">
        <v>1.8951899999999999</v>
      </c>
      <c r="F67" s="23">
        <v>2.0218799999999999</v>
      </c>
      <c r="G67" s="23">
        <v>2.3306300000000002</v>
      </c>
      <c r="H67" s="23">
        <v>2.4662500000000001</v>
      </c>
      <c r="I67" s="23">
        <v>2.70031</v>
      </c>
    </row>
    <row r="68" spans="1:9" s="21" customFormat="1" ht="20.100000000000001" customHeight="1" x14ac:dyDescent="0.2">
      <c r="A68" s="22">
        <v>43196</v>
      </c>
      <c r="B68" s="23" t="s">
        <v>52</v>
      </c>
      <c r="C68" s="23">
        <v>1.70313</v>
      </c>
      <c r="D68" s="23">
        <v>1.7437499999999999</v>
      </c>
      <c r="E68" s="23">
        <v>1.89713</v>
      </c>
      <c r="F68" s="23">
        <v>2.0222500000000001</v>
      </c>
      <c r="G68" s="23">
        <v>2.3374600000000001</v>
      </c>
      <c r="H68" s="23">
        <v>2.4721899999999999</v>
      </c>
      <c r="I68" s="23">
        <v>2.70825</v>
      </c>
    </row>
    <row r="69" spans="1:9" s="21" customFormat="1" ht="20.100000000000001" customHeight="1" x14ac:dyDescent="0.2">
      <c r="A69" s="22">
        <v>43199</v>
      </c>
      <c r="B69" s="23" t="s">
        <v>53</v>
      </c>
      <c r="C69" s="23">
        <v>1.7018800000000001</v>
      </c>
      <c r="D69" s="23">
        <v>1.7393799999999999</v>
      </c>
      <c r="E69" s="23">
        <v>1.89713</v>
      </c>
      <c r="F69" s="23">
        <v>2.0234999999999999</v>
      </c>
      <c r="G69" s="23">
        <v>2.3372999999999999</v>
      </c>
      <c r="H69" s="23">
        <v>2.4706299999999999</v>
      </c>
      <c r="I69" s="23">
        <v>2.70356</v>
      </c>
    </row>
    <row r="70" spans="1:9" s="21" customFormat="1" ht="20.100000000000001" customHeight="1" x14ac:dyDescent="0.2">
      <c r="A70" s="22">
        <v>43200</v>
      </c>
      <c r="B70" s="23" t="s">
        <v>49</v>
      </c>
      <c r="C70" s="23">
        <v>1.7018800000000001</v>
      </c>
      <c r="D70" s="23">
        <v>1.7393799999999999</v>
      </c>
      <c r="E70" s="23">
        <v>1.89438</v>
      </c>
      <c r="F70" s="23">
        <v>2.0253800000000002</v>
      </c>
      <c r="G70" s="23">
        <v>2.3390300000000002</v>
      </c>
      <c r="H70" s="23">
        <v>2.4674999999999998</v>
      </c>
      <c r="I70" s="23">
        <v>2.7041900000000001</v>
      </c>
    </row>
    <row r="71" spans="1:9" s="21" customFormat="1" ht="20.100000000000001" customHeight="1" x14ac:dyDescent="0.2">
      <c r="A71" s="22">
        <v>43201</v>
      </c>
      <c r="B71" s="23" t="s">
        <v>50</v>
      </c>
      <c r="C71" s="23">
        <v>1.7018800000000001</v>
      </c>
      <c r="D71" s="23">
        <v>1.7393799999999999</v>
      </c>
      <c r="E71" s="23">
        <v>1.8956299999999999</v>
      </c>
      <c r="F71" s="23">
        <v>2.0278800000000001</v>
      </c>
      <c r="G71" s="23">
        <v>2.3416299999999999</v>
      </c>
      <c r="H71" s="23">
        <v>2.4725000000000001</v>
      </c>
      <c r="I71" s="23">
        <v>2.7094999999999998</v>
      </c>
    </row>
    <row r="72" spans="1:9" s="21" customFormat="1" ht="20.100000000000001" customHeight="1" x14ac:dyDescent="0.2">
      <c r="A72" s="22">
        <v>43202</v>
      </c>
      <c r="B72" s="23" t="s">
        <v>51</v>
      </c>
      <c r="C72" s="23">
        <v>1.70313</v>
      </c>
      <c r="D72" s="23">
        <v>1.74</v>
      </c>
      <c r="E72" s="23">
        <v>1.8968799999999999</v>
      </c>
      <c r="F72" s="23">
        <v>2.0354999999999999</v>
      </c>
      <c r="G72" s="23">
        <v>2.3476900000000001</v>
      </c>
      <c r="H72" s="23">
        <v>2.4818799999999999</v>
      </c>
      <c r="I72" s="23">
        <v>2.71719</v>
      </c>
    </row>
    <row r="73" spans="1:9" s="21" customFormat="1" ht="20.100000000000001" customHeight="1" x14ac:dyDescent="0.2">
      <c r="A73" s="22">
        <v>43203</v>
      </c>
      <c r="B73" s="23" t="s">
        <v>52</v>
      </c>
      <c r="C73" s="23">
        <v>1.7018800000000001</v>
      </c>
      <c r="D73" s="23">
        <v>1.73875</v>
      </c>
      <c r="E73" s="23">
        <v>1.8955</v>
      </c>
      <c r="F73" s="23">
        <v>2.0375000000000001</v>
      </c>
      <c r="G73" s="23">
        <v>2.3528099999999998</v>
      </c>
      <c r="H73" s="23">
        <v>2.4900000000000002</v>
      </c>
      <c r="I73" s="23">
        <v>2.7309399999999999</v>
      </c>
    </row>
    <row r="74" spans="1:9" s="21" customFormat="1" ht="20.100000000000001" customHeight="1" x14ac:dyDescent="0.2">
      <c r="A74" s="22">
        <v>43206</v>
      </c>
      <c r="B74" s="23" t="s">
        <v>53</v>
      </c>
      <c r="C74" s="23">
        <v>1.7012499999999999</v>
      </c>
      <c r="D74" s="23">
        <v>1.7424999999999999</v>
      </c>
      <c r="E74" s="23">
        <v>1.8942600000000001</v>
      </c>
      <c r="F74" s="23">
        <v>2.0406300000000002</v>
      </c>
      <c r="G74" s="23">
        <v>2.3550900000000001</v>
      </c>
      <c r="H74" s="23">
        <v>2.5031300000000001</v>
      </c>
      <c r="I74" s="23">
        <v>2.7440600000000002</v>
      </c>
    </row>
    <row r="75" spans="1:9" s="21" customFormat="1" ht="20.100000000000001" customHeight="1" x14ac:dyDescent="0.2">
      <c r="A75" s="22">
        <v>43207</v>
      </c>
      <c r="B75" s="23" t="s">
        <v>49</v>
      </c>
      <c r="C75" s="23">
        <v>1.7037500000000001</v>
      </c>
      <c r="D75" s="23">
        <v>1.7418800000000001</v>
      </c>
      <c r="E75" s="23">
        <v>1.8956299999999999</v>
      </c>
      <c r="F75" s="23">
        <v>2.0418799999999999</v>
      </c>
      <c r="G75" s="23">
        <v>2.3553899999999999</v>
      </c>
      <c r="H75" s="23">
        <v>2.5012500000000002</v>
      </c>
      <c r="I75" s="23">
        <v>2.7460599999999999</v>
      </c>
    </row>
    <row r="76" spans="1:9" s="21" customFormat="1" ht="20.100000000000001" customHeight="1" x14ac:dyDescent="0.2">
      <c r="A76" s="22">
        <v>43208</v>
      </c>
      <c r="B76" s="23" t="s">
        <v>50</v>
      </c>
      <c r="C76" s="23">
        <v>1.7050000000000001</v>
      </c>
      <c r="D76" s="23">
        <v>1.7424999999999999</v>
      </c>
      <c r="E76" s="23">
        <v>1.89707</v>
      </c>
      <c r="F76" s="23">
        <v>2.0462500000000001</v>
      </c>
      <c r="G76" s="23">
        <v>2.35866</v>
      </c>
      <c r="H76" s="23">
        <v>2.5031300000000001</v>
      </c>
      <c r="I76" s="23">
        <v>2.7475000000000001</v>
      </c>
    </row>
    <row r="77" spans="1:9" s="21" customFormat="1" ht="20.100000000000001" customHeight="1" x14ac:dyDescent="0.2">
      <c r="A77" s="22">
        <v>43209</v>
      </c>
      <c r="B77" s="23" t="s">
        <v>51</v>
      </c>
      <c r="C77" s="23">
        <v>1.70313</v>
      </c>
      <c r="D77" s="23">
        <v>1.7424999999999999</v>
      </c>
      <c r="E77" s="23">
        <v>1.8982600000000001</v>
      </c>
      <c r="F77" s="23">
        <v>2.0562499999999999</v>
      </c>
      <c r="G77" s="23">
        <v>2.3615599999999999</v>
      </c>
      <c r="H77" s="23">
        <v>2.5093800000000002</v>
      </c>
      <c r="I77" s="23">
        <v>2.7584399999999998</v>
      </c>
    </row>
    <row r="78" spans="1:9" s="21" customFormat="1" ht="20.100000000000001" customHeight="1" x14ac:dyDescent="0.2">
      <c r="A78" s="22">
        <v>43210</v>
      </c>
      <c r="B78" s="23" t="s">
        <v>52</v>
      </c>
      <c r="C78" s="23">
        <v>1.70313</v>
      </c>
      <c r="D78" s="23">
        <v>1.7424999999999999</v>
      </c>
      <c r="E78" s="23">
        <v>1.8969499999999999</v>
      </c>
      <c r="F78" s="23">
        <v>2.0581299999999998</v>
      </c>
      <c r="G78" s="23">
        <v>2.3592300000000002</v>
      </c>
      <c r="H78" s="23">
        <v>2.51125</v>
      </c>
      <c r="I78" s="23">
        <v>2.76031</v>
      </c>
    </row>
    <row r="79" spans="1:9" s="21" customFormat="1" ht="20.100000000000001" customHeight="1" x14ac:dyDescent="0.2">
      <c r="A79" s="22">
        <v>43213</v>
      </c>
      <c r="B79" s="23" t="s">
        <v>53</v>
      </c>
      <c r="C79" s="23">
        <v>1.70313</v>
      </c>
      <c r="D79" s="23">
        <v>1.7437499999999999</v>
      </c>
      <c r="E79" s="23">
        <v>1.8971100000000001</v>
      </c>
      <c r="F79" s="23">
        <v>2.05938</v>
      </c>
      <c r="G79" s="23">
        <v>2.35954</v>
      </c>
      <c r="H79" s="23">
        <v>2.5156299999999998</v>
      </c>
      <c r="I79" s="23">
        <v>2.7687499999999998</v>
      </c>
    </row>
    <row r="80" spans="1:9" s="21" customFormat="1" ht="20.100000000000001" customHeight="1" x14ac:dyDescent="0.2">
      <c r="A80" s="22">
        <v>43214</v>
      </c>
      <c r="B80" s="23" t="s">
        <v>49</v>
      </c>
      <c r="C80" s="23">
        <v>1.70313</v>
      </c>
      <c r="D80" s="23">
        <v>1.7424999999999999</v>
      </c>
      <c r="E80" s="23">
        <v>1.8982600000000001</v>
      </c>
      <c r="F80" s="23">
        <v>2.0606300000000002</v>
      </c>
      <c r="G80" s="23">
        <v>2.3616700000000002</v>
      </c>
      <c r="H80" s="23">
        <v>2.5162499999999999</v>
      </c>
      <c r="I80" s="23">
        <v>2.7687499999999998</v>
      </c>
    </row>
    <row r="81" spans="1:9" s="21" customFormat="1" ht="20.100000000000001" customHeight="1" x14ac:dyDescent="0.2">
      <c r="A81" s="22">
        <v>43215</v>
      </c>
      <c r="B81" s="23" t="s">
        <v>50</v>
      </c>
      <c r="C81" s="23">
        <v>1.70313</v>
      </c>
      <c r="D81" s="23">
        <v>1.7475000000000001</v>
      </c>
      <c r="E81" s="23">
        <v>1.89988</v>
      </c>
      <c r="F81" s="23">
        <v>2.0631300000000001</v>
      </c>
      <c r="G81" s="23">
        <v>2.3656100000000002</v>
      </c>
      <c r="H81" s="23">
        <v>2.51925</v>
      </c>
      <c r="I81" s="23">
        <v>2.7718799999999999</v>
      </c>
    </row>
    <row r="82" spans="1:9" s="21" customFormat="1" ht="20.100000000000001" customHeight="1" x14ac:dyDescent="0.2">
      <c r="A82" s="22">
        <v>43216</v>
      </c>
      <c r="B82" s="23" t="s">
        <v>51</v>
      </c>
      <c r="C82" s="23">
        <v>1.70313</v>
      </c>
      <c r="D82" s="23">
        <v>1.7493799999999999</v>
      </c>
      <c r="E82" s="23">
        <v>1.90076</v>
      </c>
      <c r="F82" s="23">
        <v>2.0558200000000002</v>
      </c>
      <c r="G82" s="23">
        <v>2.3587799999999999</v>
      </c>
      <c r="H82" s="23">
        <v>2.5217499999999999</v>
      </c>
      <c r="I82" s="23">
        <v>2.76993</v>
      </c>
    </row>
    <row r="83" spans="1:9" s="21" customFormat="1" ht="20.100000000000001" customHeight="1" x14ac:dyDescent="0.2">
      <c r="A83" s="22">
        <v>43217</v>
      </c>
      <c r="B83" s="23" t="s">
        <v>52</v>
      </c>
      <c r="C83" s="23">
        <v>1.70438</v>
      </c>
      <c r="D83" s="23">
        <v>1.7518800000000001</v>
      </c>
      <c r="E83" s="23">
        <v>1.9070100000000001</v>
      </c>
      <c r="F83" s="23">
        <v>2.0611100000000002</v>
      </c>
      <c r="G83" s="23">
        <v>2.35805</v>
      </c>
      <c r="H83" s="23">
        <v>2.5195599999999998</v>
      </c>
      <c r="I83" s="23">
        <v>2.7803100000000001</v>
      </c>
    </row>
    <row r="84" spans="1:9" s="21" customFormat="1" ht="20.100000000000001" customHeight="1" x14ac:dyDescent="0.2">
      <c r="A84" s="22">
        <v>43220</v>
      </c>
      <c r="B84" s="23" t="s">
        <v>53</v>
      </c>
      <c r="C84" s="23">
        <v>1.7036899999999999</v>
      </c>
      <c r="D84" s="23">
        <v>1.75</v>
      </c>
      <c r="E84" s="23">
        <v>1.9093199999999999</v>
      </c>
      <c r="F84" s="23">
        <v>2.0655999999999999</v>
      </c>
      <c r="G84" s="23">
        <v>2.36294</v>
      </c>
      <c r="H84" s="23">
        <v>2.5117500000000001</v>
      </c>
      <c r="I84" s="23">
        <v>2.7700399999999998</v>
      </c>
    </row>
    <row r="85" spans="1:9" s="21" customFormat="1" ht="20.100000000000001" customHeight="1" x14ac:dyDescent="0.2">
      <c r="A85" s="22">
        <v>43221</v>
      </c>
      <c r="B85" s="23" t="s">
        <v>49</v>
      </c>
      <c r="C85" s="23">
        <v>1.70438</v>
      </c>
      <c r="D85" s="23">
        <v>1.75048</v>
      </c>
      <c r="E85" s="23">
        <v>1.9087499999999999</v>
      </c>
      <c r="F85" s="23">
        <v>2.07959</v>
      </c>
      <c r="G85" s="23">
        <v>2.3537499999999998</v>
      </c>
      <c r="H85" s="23">
        <v>2.5142500000000001</v>
      </c>
      <c r="I85" s="23">
        <v>2.7659799999999999</v>
      </c>
    </row>
    <row r="86" spans="1:9" s="21" customFormat="1" ht="20.100000000000001" customHeight="1" x14ac:dyDescent="0.2">
      <c r="A86" s="22">
        <v>43222</v>
      </c>
      <c r="B86" s="23" t="s">
        <v>50</v>
      </c>
      <c r="C86" s="23">
        <v>1.70438</v>
      </c>
      <c r="D86" s="23">
        <v>1.7512799999999999</v>
      </c>
      <c r="E86" s="23">
        <v>1.91713</v>
      </c>
      <c r="F86" s="23">
        <v>2.0825800000000001</v>
      </c>
      <c r="G86" s="23">
        <v>2.36294</v>
      </c>
      <c r="H86" s="23">
        <v>2.5126900000000001</v>
      </c>
      <c r="I86" s="23">
        <v>2.77685</v>
      </c>
    </row>
    <row r="87" spans="1:9" s="21" customFormat="1" ht="20.100000000000001" customHeight="1" x14ac:dyDescent="0.2">
      <c r="A87" s="22">
        <v>43223</v>
      </c>
      <c r="B87" s="23" t="s">
        <v>51</v>
      </c>
      <c r="C87" s="23">
        <v>1.70438</v>
      </c>
      <c r="D87" s="23">
        <v>1.7537499999999999</v>
      </c>
      <c r="E87" s="23">
        <v>1.9227000000000001</v>
      </c>
      <c r="F87" s="23">
        <v>2.0847600000000002</v>
      </c>
      <c r="G87" s="23">
        <v>2.36313</v>
      </c>
      <c r="H87" s="23">
        <v>2.5148799999999998</v>
      </c>
      <c r="I87" s="23">
        <v>2.7727300000000001</v>
      </c>
    </row>
    <row r="88" spans="1:9" s="21" customFormat="1" ht="20.100000000000001" customHeight="1" x14ac:dyDescent="0.2">
      <c r="A88" s="22">
        <v>43224</v>
      </c>
      <c r="B88" s="23" t="s">
        <v>52</v>
      </c>
      <c r="C88" s="23">
        <v>1.70563</v>
      </c>
      <c r="D88" s="23">
        <v>1.7549999999999999</v>
      </c>
      <c r="E88" s="23">
        <v>1.9277</v>
      </c>
      <c r="F88" s="23">
        <v>2.08257</v>
      </c>
      <c r="G88" s="23">
        <v>2.3690600000000002</v>
      </c>
      <c r="H88" s="23">
        <v>2.5201899999999999</v>
      </c>
      <c r="I88" s="23">
        <v>2.7766600000000001</v>
      </c>
    </row>
    <row r="89" spans="1:9" s="21" customFormat="1" ht="20.100000000000001" customHeight="1" x14ac:dyDescent="0.2">
      <c r="A89" s="22">
        <v>43228</v>
      </c>
      <c r="B89" s="23" t="s">
        <v>49</v>
      </c>
      <c r="C89" s="23">
        <v>1.7050000000000001</v>
      </c>
      <c r="D89" s="23">
        <v>1.7549999999999999</v>
      </c>
      <c r="E89" s="23">
        <v>1.9285099999999999</v>
      </c>
      <c r="F89" s="23">
        <v>2.0818599999999998</v>
      </c>
      <c r="G89" s="23">
        <v>2.3525</v>
      </c>
      <c r="H89" s="23">
        <v>2.5237500000000002</v>
      </c>
      <c r="I89" s="23">
        <v>2.77094</v>
      </c>
    </row>
    <row r="90" spans="1:9" s="21" customFormat="1" ht="20.100000000000001" customHeight="1" x14ac:dyDescent="0.2">
      <c r="A90" s="22">
        <v>43229</v>
      </c>
      <c r="B90" s="23" t="s">
        <v>50</v>
      </c>
      <c r="C90" s="23">
        <v>1.7050000000000001</v>
      </c>
      <c r="D90" s="23">
        <v>1.7537499999999999</v>
      </c>
      <c r="E90" s="23">
        <v>1.9285099999999999</v>
      </c>
      <c r="F90" s="23">
        <v>2.08636</v>
      </c>
      <c r="G90" s="23">
        <v>2.35575</v>
      </c>
      <c r="H90" s="23">
        <v>2.5181300000000002</v>
      </c>
      <c r="I90" s="23">
        <v>2.77094</v>
      </c>
    </row>
    <row r="91" spans="1:9" s="21" customFormat="1" ht="20.100000000000001" customHeight="1" x14ac:dyDescent="0.2">
      <c r="A91" s="22">
        <v>43230</v>
      </c>
      <c r="B91" s="23" t="s">
        <v>51</v>
      </c>
      <c r="C91" s="23">
        <v>1.7050000000000001</v>
      </c>
      <c r="D91" s="23">
        <v>1.7549999999999999</v>
      </c>
      <c r="E91" s="23">
        <v>1.91839</v>
      </c>
      <c r="F91" s="23">
        <v>2.09171</v>
      </c>
      <c r="G91" s="23">
        <v>2.355</v>
      </c>
      <c r="H91" s="23">
        <v>2.51688</v>
      </c>
      <c r="I91" s="23">
        <v>2.7681300000000002</v>
      </c>
    </row>
    <row r="92" spans="1:9" s="21" customFormat="1" ht="20.100000000000001" customHeight="1" x14ac:dyDescent="0.2">
      <c r="A92" s="22">
        <v>43231</v>
      </c>
      <c r="B92" s="23" t="s">
        <v>52</v>
      </c>
      <c r="C92" s="23">
        <v>1.70625</v>
      </c>
      <c r="D92" s="23">
        <v>1.7509399999999999</v>
      </c>
      <c r="E92" s="23">
        <v>1.9187099999999999</v>
      </c>
      <c r="F92" s="23">
        <v>2.0865200000000002</v>
      </c>
      <c r="G92" s="23">
        <v>2.3424999999999998</v>
      </c>
      <c r="H92" s="23">
        <v>2.5150000000000001</v>
      </c>
      <c r="I92" s="23">
        <v>2.76579</v>
      </c>
    </row>
    <row r="93" spans="1:9" s="21" customFormat="1" ht="20.100000000000001" customHeight="1" x14ac:dyDescent="0.2">
      <c r="A93" s="22">
        <v>43234</v>
      </c>
      <c r="B93" s="23" t="s">
        <v>53</v>
      </c>
      <c r="C93" s="23">
        <v>1.7050000000000001</v>
      </c>
      <c r="D93" s="23">
        <v>1.7549999999999999</v>
      </c>
      <c r="E93" s="23">
        <v>1.9337500000000001</v>
      </c>
      <c r="F93" s="23">
        <v>2.08569</v>
      </c>
      <c r="G93" s="23">
        <v>2.33</v>
      </c>
      <c r="H93" s="23">
        <v>2.5006300000000001</v>
      </c>
      <c r="I93" s="23">
        <v>2.7574800000000002</v>
      </c>
    </row>
    <row r="94" spans="1:9" s="21" customFormat="1" ht="20.100000000000001" customHeight="1" x14ac:dyDescent="0.2">
      <c r="A94" s="22">
        <v>43235</v>
      </c>
      <c r="B94" s="23" t="s">
        <v>49</v>
      </c>
      <c r="C94" s="23">
        <v>1.7050000000000001</v>
      </c>
      <c r="D94" s="23">
        <v>1.7543800000000001</v>
      </c>
      <c r="E94" s="23">
        <v>1.93875</v>
      </c>
      <c r="F94" s="23">
        <v>2.0916700000000001</v>
      </c>
      <c r="G94" s="23">
        <v>2.32063</v>
      </c>
      <c r="H94" s="23">
        <v>2.4925000000000002</v>
      </c>
      <c r="I94" s="23">
        <v>2.75386</v>
      </c>
    </row>
    <row r="95" spans="1:9" s="21" customFormat="1" ht="20.100000000000001" customHeight="1" x14ac:dyDescent="0.2">
      <c r="A95" s="22">
        <v>43236</v>
      </c>
      <c r="B95" s="23" t="s">
        <v>50</v>
      </c>
      <c r="C95" s="23">
        <v>1.7053799999999999</v>
      </c>
      <c r="D95" s="23">
        <v>1.7506299999999999</v>
      </c>
      <c r="E95" s="23">
        <v>1.9350000000000001</v>
      </c>
      <c r="F95" s="23">
        <v>2.0936900000000001</v>
      </c>
      <c r="G95" s="23">
        <v>2.3256299999999999</v>
      </c>
      <c r="H95" s="23">
        <v>2.49438</v>
      </c>
      <c r="I95" s="23">
        <v>2.7614800000000002</v>
      </c>
    </row>
    <row r="96" spans="1:9" s="21" customFormat="1" ht="20.100000000000001" customHeight="1" x14ac:dyDescent="0.2">
      <c r="A96" s="22">
        <v>43237</v>
      </c>
      <c r="B96" s="23" t="s">
        <v>51</v>
      </c>
      <c r="C96" s="23">
        <v>1.706</v>
      </c>
      <c r="D96" s="23">
        <v>1.7512799999999999</v>
      </c>
      <c r="E96" s="23">
        <v>1.9477500000000001</v>
      </c>
      <c r="F96" s="23">
        <v>2.10338</v>
      </c>
      <c r="G96" s="23">
        <v>2.3312499999999998</v>
      </c>
      <c r="H96" s="23">
        <v>2.4993799999999999</v>
      </c>
      <c r="I96" s="23">
        <v>2.7664800000000001</v>
      </c>
    </row>
    <row r="97" spans="1:9" s="21" customFormat="1" ht="20.100000000000001" customHeight="1" x14ac:dyDescent="0.2">
      <c r="A97" s="22">
        <v>43238</v>
      </c>
      <c r="B97" s="23" t="s">
        <v>52</v>
      </c>
      <c r="C97" s="23">
        <v>1.7072499999999999</v>
      </c>
      <c r="D97" s="23">
        <v>1.75125</v>
      </c>
      <c r="E97" s="23">
        <v>1.95275</v>
      </c>
      <c r="F97" s="23">
        <v>2.1037499999999998</v>
      </c>
      <c r="G97" s="23">
        <v>2.32938</v>
      </c>
      <c r="H97" s="23">
        <v>2.4987499999999998</v>
      </c>
      <c r="I97" s="23">
        <v>2.7648199999999998</v>
      </c>
    </row>
    <row r="98" spans="1:9" s="21" customFormat="1" ht="20.100000000000001" customHeight="1" x14ac:dyDescent="0.2">
      <c r="A98" s="22">
        <v>43241</v>
      </c>
      <c r="B98" s="23" t="s">
        <v>53</v>
      </c>
      <c r="C98" s="23">
        <v>1.706</v>
      </c>
      <c r="D98" s="23">
        <v>1.75125</v>
      </c>
      <c r="E98" s="23">
        <v>1.9612499999999999</v>
      </c>
      <c r="F98" s="23">
        <v>2.1067499999999999</v>
      </c>
      <c r="G98" s="23">
        <v>2.33</v>
      </c>
      <c r="H98" s="23">
        <v>2.4987499999999998</v>
      </c>
      <c r="I98" s="23">
        <v>2.7652299999999999</v>
      </c>
    </row>
    <row r="99" spans="1:9" s="21" customFormat="1" ht="20.100000000000001" customHeight="1" x14ac:dyDescent="0.2">
      <c r="A99" s="22">
        <v>43242</v>
      </c>
      <c r="B99" s="23" t="s">
        <v>49</v>
      </c>
      <c r="C99" s="23">
        <v>1.7084999999999999</v>
      </c>
      <c r="D99" s="23">
        <v>1.75159</v>
      </c>
      <c r="E99" s="23">
        <v>1.9653799999999999</v>
      </c>
      <c r="F99" s="23">
        <v>2.1074999999999999</v>
      </c>
      <c r="G99" s="23">
        <v>2.33</v>
      </c>
      <c r="H99" s="23">
        <v>2.4993799999999999</v>
      </c>
      <c r="I99" s="23">
        <v>2.7640199999999999</v>
      </c>
    </row>
    <row r="100" spans="1:9" s="21" customFormat="1" ht="20.100000000000001" customHeight="1" x14ac:dyDescent="0.2">
      <c r="A100" s="22">
        <v>43243</v>
      </c>
      <c r="B100" s="23" t="s">
        <v>50</v>
      </c>
      <c r="C100" s="23">
        <v>1.7078800000000001</v>
      </c>
      <c r="D100" s="23">
        <v>1.75031</v>
      </c>
      <c r="E100" s="23">
        <v>1.9596899999999999</v>
      </c>
      <c r="F100" s="23">
        <v>2.1010499999999999</v>
      </c>
      <c r="G100" s="23">
        <v>2.33</v>
      </c>
      <c r="H100" s="23">
        <v>2.4975000000000001</v>
      </c>
      <c r="I100" s="23">
        <v>2.7540900000000001</v>
      </c>
    </row>
    <row r="101" spans="1:9" s="21" customFormat="1" ht="20.100000000000001" customHeight="1" x14ac:dyDescent="0.2">
      <c r="A101" s="22">
        <v>43244</v>
      </c>
      <c r="B101" s="23" t="s">
        <v>51</v>
      </c>
      <c r="C101" s="23">
        <v>1.7084999999999999</v>
      </c>
      <c r="D101" s="23">
        <v>1.75</v>
      </c>
      <c r="E101" s="23">
        <v>1.96827</v>
      </c>
      <c r="F101" s="23">
        <v>2.0989</v>
      </c>
      <c r="G101" s="23">
        <v>2.3193800000000002</v>
      </c>
      <c r="H101" s="23">
        <v>2.4849999999999999</v>
      </c>
      <c r="I101" s="23">
        <v>2.7374200000000002</v>
      </c>
    </row>
    <row r="102" spans="1:9" s="21" customFormat="1" ht="20.100000000000001" customHeight="1" x14ac:dyDescent="0.2">
      <c r="A102" s="22">
        <v>43245</v>
      </c>
      <c r="B102" s="23" t="s">
        <v>52</v>
      </c>
      <c r="C102" s="23">
        <v>1.7072499999999999</v>
      </c>
      <c r="D102" s="23">
        <v>1.7546900000000001</v>
      </c>
      <c r="E102" s="23">
        <v>1.97563</v>
      </c>
      <c r="F102" s="23">
        <v>2.0994199999999998</v>
      </c>
      <c r="G102" s="23">
        <v>2.31813</v>
      </c>
      <c r="H102" s="23">
        <v>2.4818799999999999</v>
      </c>
      <c r="I102" s="23">
        <v>2.7313700000000001</v>
      </c>
    </row>
    <row r="103" spans="1:9" s="21" customFormat="1" ht="20.100000000000001" customHeight="1" x14ac:dyDescent="0.2">
      <c r="A103" s="22">
        <v>43249</v>
      </c>
      <c r="B103" s="23" t="s">
        <v>49</v>
      </c>
      <c r="C103" s="23">
        <v>1.7084999999999999</v>
      </c>
      <c r="D103" s="23">
        <v>1.7543800000000001</v>
      </c>
      <c r="E103" s="23">
        <v>1.98031</v>
      </c>
      <c r="F103" s="23">
        <v>2.0971799999999998</v>
      </c>
      <c r="G103" s="23">
        <v>2.3071899999999999</v>
      </c>
      <c r="H103" s="23">
        <v>2.4700000000000002</v>
      </c>
      <c r="I103" s="23">
        <v>2.7075</v>
      </c>
    </row>
    <row r="104" spans="1:9" s="21" customFormat="1" ht="20.100000000000001" customHeight="1" x14ac:dyDescent="0.2">
      <c r="A104" s="22">
        <v>43250</v>
      </c>
      <c r="B104" s="23" t="s">
        <v>50</v>
      </c>
      <c r="C104" s="23">
        <v>1.71163</v>
      </c>
      <c r="D104" s="23">
        <v>1.75</v>
      </c>
      <c r="E104" s="23">
        <v>1.9824600000000001</v>
      </c>
      <c r="F104" s="23">
        <v>2.0967699999999998</v>
      </c>
      <c r="G104" s="23">
        <v>2.3003100000000001</v>
      </c>
      <c r="H104" s="23">
        <v>2.4668800000000002</v>
      </c>
      <c r="I104" s="23">
        <v>2.7</v>
      </c>
    </row>
    <row r="105" spans="1:9" s="21" customFormat="1" ht="20.100000000000001" customHeight="1" x14ac:dyDescent="0.2">
      <c r="A105" s="22">
        <v>43251</v>
      </c>
      <c r="B105" s="23" t="s">
        <v>51</v>
      </c>
      <c r="C105" s="23">
        <v>1.71163</v>
      </c>
      <c r="D105" s="23">
        <v>1.75156</v>
      </c>
      <c r="E105" s="23">
        <v>2.0007000000000001</v>
      </c>
      <c r="F105" s="23">
        <v>2.1068600000000002</v>
      </c>
      <c r="G105" s="23">
        <v>2.32125</v>
      </c>
      <c r="H105" s="23">
        <v>2.4737499999999999</v>
      </c>
      <c r="I105" s="23">
        <v>2.7181299999999999</v>
      </c>
    </row>
    <row r="106" spans="1:9" s="21" customFormat="1" ht="20.100000000000001" customHeight="1" x14ac:dyDescent="0.2">
      <c r="A106" s="22">
        <v>43252</v>
      </c>
      <c r="B106" s="23" t="s">
        <v>52</v>
      </c>
      <c r="C106" s="23">
        <v>1.712</v>
      </c>
      <c r="D106" s="23">
        <v>1.75406</v>
      </c>
      <c r="E106" s="23">
        <v>2.00468</v>
      </c>
      <c r="F106" s="23">
        <v>2.1112600000000001</v>
      </c>
      <c r="G106" s="23">
        <v>2.3178100000000001</v>
      </c>
      <c r="H106" s="23">
        <v>2.47438</v>
      </c>
      <c r="I106" s="23">
        <v>2.7241300000000002</v>
      </c>
    </row>
    <row r="107" spans="1:9" s="21" customFormat="1" ht="20.100000000000001" customHeight="1" x14ac:dyDescent="0.2">
      <c r="A107" s="22">
        <v>43255</v>
      </c>
      <c r="B107" s="23" t="s">
        <v>53</v>
      </c>
      <c r="C107" s="23">
        <v>1.712</v>
      </c>
      <c r="D107" s="23">
        <v>1.7518800000000001</v>
      </c>
      <c r="E107" s="23">
        <v>2.0129700000000001</v>
      </c>
      <c r="F107" s="23">
        <v>2.1183800000000002</v>
      </c>
      <c r="G107" s="23">
        <v>2.3138100000000001</v>
      </c>
      <c r="H107" s="23">
        <v>2.484</v>
      </c>
      <c r="I107" s="23">
        <v>2.74011</v>
      </c>
    </row>
    <row r="108" spans="1:9" s="21" customFormat="1" ht="20.100000000000001" customHeight="1" x14ac:dyDescent="0.2">
      <c r="A108" s="22">
        <v>43256</v>
      </c>
      <c r="B108" s="23" t="s">
        <v>49</v>
      </c>
      <c r="C108" s="23">
        <v>1.712</v>
      </c>
      <c r="D108" s="23">
        <v>1.7518800000000001</v>
      </c>
      <c r="E108" s="23">
        <v>2.02454</v>
      </c>
      <c r="F108" s="23">
        <v>2.1227900000000002</v>
      </c>
      <c r="G108" s="23">
        <v>2.3191899999999999</v>
      </c>
      <c r="H108" s="23">
        <v>2.4796299999999998</v>
      </c>
      <c r="I108" s="23">
        <v>2.73888</v>
      </c>
    </row>
    <row r="109" spans="1:9" s="21" customFormat="1" ht="20.100000000000001" customHeight="1" x14ac:dyDescent="0.2">
      <c r="A109" s="22">
        <v>43257</v>
      </c>
      <c r="B109" s="23" t="s">
        <v>50</v>
      </c>
      <c r="C109" s="23">
        <v>1.7135</v>
      </c>
      <c r="D109" s="23">
        <v>1.77261</v>
      </c>
      <c r="E109" s="23">
        <v>2.0296099999999999</v>
      </c>
      <c r="F109" s="23">
        <v>2.1236600000000001</v>
      </c>
      <c r="G109" s="23">
        <v>2.3208799999999998</v>
      </c>
      <c r="H109" s="23">
        <v>2.4837500000000001</v>
      </c>
      <c r="I109" s="23">
        <v>2.7408800000000002</v>
      </c>
    </row>
    <row r="110" spans="1:9" s="21" customFormat="1" ht="20.100000000000001" customHeight="1" x14ac:dyDescent="0.2">
      <c r="A110" s="22">
        <v>43258</v>
      </c>
      <c r="B110" s="23" t="s">
        <v>51</v>
      </c>
      <c r="C110" s="23">
        <v>1.71438</v>
      </c>
      <c r="D110" s="23">
        <v>1.8262499999999999</v>
      </c>
      <c r="E110" s="23">
        <v>2.0463800000000001</v>
      </c>
      <c r="F110" s="23">
        <v>2.1352500000000001</v>
      </c>
      <c r="G110" s="23">
        <v>2.3271299999999999</v>
      </c>
      <c r="H110" s="23">
        <v>2.4918800000000001</v>
      </c>
      <c r="I110" s="23">
        <v>2.7537500000000001</v>
      </c>
    </row>
    <row r="111" spans="1:9" s="21" customFormat="1" ht="20.100000000000001" customHeight="1" x14ac:dyDescent="0.2">
      <c r="A111" s="22">
        <v>43259</v>
      </c>
      <c r="B111" s="23" t="s">
        <v>52</v>
      </c>
      <c r="C111" s="23">
        <v>1.7150000000000001</v>
      </c>
      <c r="D111" s="23">
        <v>1.85999</v>
      </c>
      <c r="E111" s="23">
        <v>2.04617</v>
      </c>
      <c r="F111" s="23">
        <v>2.13489</v>
      </c>
      <c r="G111" s="23">
        <v>2.3263099999999999</v>
      </c>
      <c r="H111" s="23">
        <v>2.48875</v>
      </c>
      <c r="I111" s="23">
        <v>2.7402500000000001</v>
      </c>
    </row>
    <row r="112" spans="1:9" s="21" customFormat="1" ht="20.100000000000001" customHeight="1" x14ac:dyDescent="0.2">
      <c r="A112" s="22">
        <v>43262</v>
      </c>
      <c r="B112" s="23" t="s">
        <v>53</v>
      </c>
      <c r="C112" s="23">
        <v>1.7146300000000001</v>
      </c>
      <c r="D112" s="23">
        <v>1.9068799999999999</v>
      </c>
      <c r="E112" s="23">
        <v>2.04738</v>
      </c>
      <c r="F112" s="23">
        <v>2.137</v>
      </c>
      <c r="G112" s="23">
        <v>2.33263</v>
      </c>
      <c r="H112" s="23">
        <v>2.4931299999999998</v>
      </c>
      <c r="I112" s="23">
        <v>2.7579400000000001</v>
      </c>
    </row>
    <row r="113" spans="1:9" s="21" customFormat="1" ht="20.100000000000001" customHeight="1" x14ac:dyDescent="0.2">
      <c r="A113" s="22">
        <v>43263</v>
      </c>
      <c r="B113" s="23" t="s">
        <v>49</v>
      </c>
      <c r="C113" s="23">
        <v>1.7132499999999999</v>
      </c>
      <c r="D113" s="23">
        <v>1.9409400000000001</v>
      </c>
      <c r="E113" s="23">
        <v>2.0572499999999998</v>
      </c>
      <c r="F113" s="23">
        <v>2.1467499999999999</v>
      </c>
      <c r="G113" s="23">
        <v>2.3356300000000001</v>
      </c>
      <c r="H113" s="23">
        <v>2.4987499999999998</v>
      </c>
      <c r="I113" s="23">
        <v>2.7646899999999999</v>
      </c>
    </row>
    <row r="114" spans="1:9" s="21" customFormat="1" ht="20.100000000000001" customHeight="1" x14ac:dyDescent="0.2">
      <c r="A114" s="22">
        <v>43264</v>
      </c>
      <c r="B114" s="23" t="s">
        <v>50</v>
      </c>
      <c r="C114" s="23">
        <v>1.7126300000000001</v>
      </c>
      <c r="D114" s="23">
        <v>1.9550000000000001</v>
      </c>
      <c r="E114" s="23">
        <v>2.0732499999999998</v>
      </c>
      <c r="F114" s="23">
        <v>2.1492499999999999</v>
      </c>
      <c r="G114" s="23">
        <v>2.34063</v>
      </c>
      <c r="H114" s="23">
        <v>2.50013</v>
      </c>
      <c r="I114" s="23">
        <v>2.76688</v>
      </c>
    </row>
    <row r="115" spans="1:9" s="21" customFormat="1" ht="20.100000000000001" customHeight="1" x14ac:dyDescent="0.2">
      <c r="A115" s="22">
        <v>43265</v>
      </c>
      <c r="B115" s="23" t="s">
        <v>51</v>
      </c>
      <c r="C115" s="23">
        <v>1.93563</v>
      </c>
      <c r="D115" s="23">
        <v>1.966</v>
      </c>
      <c r="E115" s="23">
        <v>2.0850599999999999</v>
      </c>
      <c r="F115" s="23">
        <v>2.1517499999999998</v>
      </c>
      <c r="G115" s="23">
        <v>2.3346900000000002</v>
      </c>
      <c r="H115" s="23">
        <v>2.5028800000000002</v>
      </c>
      <c r="I115" s="23">
        <v>2.7718799999999999</v>
      </c>
    </row>
    <row r="116" spans="1:9" s="21" customFormat="1" ht="20.100000000000001" customHeight="1" x14ac:dyDescent="0.2">
      <c r="A116" s="22">
        <v>43266</v>
      </c>
      <c r="B116" s="23" t="s">
        <v>52</v>
      </c>
      <c r="C116" s="23">
        <v>1.92563</v>
      </c>
      <c r="D116" s="23">
        <v>1.9718800000000001</v>
      </c>
      <c r="E116" s="23">
        <v>2.08494</v>
      </c>
      <c r="F116" s="23">
        <v>2.1517499999999998</v>
      </c>
      <c r="G116" s="23">
        <v>2.3259400000000001</v>
      </c>
      <c r="H116" s="23">
        <v>2.5037500000000001</v>
      </c>
      <c r="I116" s="23">
        <v>2.7721900000000002</v>
      </c>
    </row>
    <row r="117" spans="1:9" s="21" customFormat="1" ht="20.100000000000001" customHeight="1" x14ac:dyDescent="0.2">
      <c r="A117" s="22">
        <v>43269</v>
      </c>
      <c r="B117" s="23" t="s">
        <v>53</v>
      </c>
      <c r="C117" s="23">
        <v>1.9255</v>
      </c>
      <c r="D117" s="23">
        <v>1.9718800000000001</v>
      </c>
      <c r="E117" s="23">
        <v>2.0837500000000002</v>
      </c>
      <c r="F117" s="23">
        <v>2.1505000000000001</v>
      </c>
      <c r="G117" s="23">
        <v>2.3246899999999999</v>
      </c>
      <c r="H117" s="23">
        <v>2.49688</v>
      </c>
      <c r="I117" s="23">
        <v>2.7718799999999999</v>
      </c>
    </row>
    <row r="118" spans="1:9" s="21" customFormat="1" ht="20.100000000000001" customHeight="1" x14ac:dyDescent="0.2">
      <c r="A118" s="22">
        <v>43270</v>
      </c>
      <c r="B118" s="23" t="s">
        <v>49</v>
      </c>
      <c r="C118" s="23">
        <v>1.9288799999999999</v>
      </c>
      <c r="D118" s="23">
        <v>1.97438</v>
      </c>
      <c r="E118" s="23">
        <v>2.0878800000000002</v>
      </c>
      <c r="F118" s="23">
        <v>2.1542500000000002</v>
      </c>
      <c r="G118" s="23">
        <v>2.3302499999999999</v>
      </c>
      <c r="H118" s="23">
        <v>2.4950000000000001</v>
      </c>
      <c r="I118" s="23">
        <v>2.7625000000000002</v>
      </c>
    </row>
    <row r="119" spans="1:9" s="21" customFormat="1" ht="20.100000000000001" customHeight="1" x14ac:dyDescent="0.2">
      <c r="A119" s="22">
        <v>43271</v>
      </c>
      <c r="B119" s="23" t="s">
        <v>50</v>
      </c>
      <c r="C119" s="23">
        <v>1.93038</v>
      </c>
      <c r="D119" s="23">
        <v>1.9725600000000001</v>
      </c>
      <c r="E119" s="23">
        <v>2.0836299999999999</v>
      </c>
      <c r="F119" s="23">
        <v>2.1652499999999999</v>
      </c>
      <c r="G119" s="23">
        <v>2.33188</v>
      </c>
      <c r="H119" s="23">
        <v>2.50088</v>
      </c>
      <c r="I119" s="23">
        <v>2.7725</v>
      </c>
    </row>
    <row r="120" spans="1:9" s="21" customFormat="1" ht="20.100000000000001" customHeight="1" x14ac:dyDescent="0.2">
      <c r="A120" s="22">
        <v>43272</v>
      </c>
      <c r="B120" s="23" t="s">
        <v>51</v>
      </c>
      <c r="C120" s="23">
        <v>1.92788</v>
      </c>
      <c r="D120" s="23">
        <v>1.98244</v>
      </c>
      <c r="E120" s="23">
        <v>2.0911300000000002</v>
      </c>
      <c r="F120" s="23">
        <v>2.17231</v>
      </c>
      <c r="G120" s="23">
        <v>2.3350599999999999</v>
      </c>
      <c r="H120" s="23">
        <v>2.5043799999999998</v>
      </c>
      <c r="I120" s="23">
        <v>2.7703099999999998</v>
      </c>
    </row>
    <row r="121" spans="1:9" s="21" customFormat="1" ht="20.100000000000001" customHeight="1" x14ac:dyDescent="0.2">
      <c r="A121" s="22">
        <v>43273</v>
      </c>
      <c r="B121" s="23" t="s">
        <v>52</v>
      </c>
      <c r="C121" s="23">
        <v>1.9279999999999999</v>
      </c>
      <c r="D121" s="23">
        <v>1.9853799999999999</v>
      </c>
      <c r="E121" s="23">
        <v>2.09775</v>
      </c>
      <c r="F121" s="23">
        <v>2.1788099999999999</v>
      </c>
      <c r="G121" s="23">
        <v>2.3388800000000001</v>
      </c>
      <c r="H121" s="23">
        <v>2.5074999999999998</v>
      </c>
      <c r="I121" s="23">
        <v>2.7768799999999998</v>
      </c>
    </row>
    <row r="122" spans="1:9" s="21" customFormat="1" ht="20.100000000000001" customHeight="1" x14ac:dyDescent="0.2">
      <c r="A122" s="22">
        <v>43276</v>
      </c>
      <c r="B122" s="23" t="s">
        <v>53</v>
      </c>
      <c r="C122" s="23">
        <v>1.93163</v>
      </c>
      <c r="D122" s="23">
        <v>1.9875</v>
      </c>
      <c r="E122" s="23">
        <v>2.1028799999999999</v>
      </c>
      <c r="F122" s="23">
        <v>2.1696300000000002</v>
      </c>
      <c r="G122" s="23">
        <v>2.3370000000000002</v>
      </c>
      <c r="H122" s="23">
        <v>2.5024999999999999</v>
      </c>
      <c r="I122" s="23">
        <v>2.7659400000000001</v>
      </c>
    </row>
    <row r="123" spans="1:9" s="21" customFormat="1" ht="20.100000000000001" customHeight="1" x14ac:dyDescent="0.2">
      <c r="A123" s="22">
        <v>43277</v>
      </c>
      <c r="B123" s="23" t="s">
        <v>49</v>
      </c>
      <c r="C123" s="23">
        <v>1.9350000000000001</v>
      </c>
      <c r="D123" s="23">
        <v>1.98688</v>
      </c>
      <c r="E123" s="23">
        <v>2.10188</v>
      </c>
      <c r="F123" s="23">
        <v>2.1688800000000001</v>
      </c>
      <c r="G123" s="23">
        <v>2.3356300000000001</v>
      </c>
      <c r="H123" s="23">
        <v>2.5024999999999999</v>
      </c>
      <c r="I123" s="23">
        <v>2.77094</v>
      </c>
    </row>
    <row r="124" spans="1:9" s="21" customFormat="1" ht="20.100000000000001" customHeight="1" x14ac:dyDescent="0.2">
      <c r="A124" s="22">
        <v>43278</v>
      </c>
      <c r="B124" s="23" t="s">
        <v>50</v>
      </c>
      <c r="C124" s="23">
        <v>1.9337500000000001</v>
      </c>
      <c r="D124" s="23">
        <v>1.98106</v>
      </c>
      <c r="E124" s="23">
        <v>2.0935000000000001</v>
      </c>
      <c r="F124" s="23">
        <v>2.1711299999999998</v>
      </c>
      <c r="G124" s="23">
        <v>2.3343799999999999</v>
      </c>
      <c r="H124" s="23">
        <v>2.5006300000000001</v>
      </c>
      <c r="I124" s="23">
        <v>2.76281</v>
      </c>
    </row>
    <row r="125" spans="1:9" s="21" customFormat="1" ht="20.100000000000001" customHeight="1" x14ac:dyDescent="0.2">
      <c r="A125" s="22">
        <v>43279</v>
      </c>
      <c r="B125" s="23" t="s">
        <v>51</v>
      </c>
      <c r="C125" s="23">
        <v>1.9332499999999999</v>
      </c>
      <c r="D125" s="23">
        <v>1.9796899999999999</v>
      </c>
      <c r="E125" s="23">
        <v>2.09213</v>
      </c>
      <c r="F125" s="23">
        <v>2.1728800000000001</v>
      </c>
      <c r="G125" s="23">
        <v>2.33738</v>
      </c>
      <c r="H125" s="23">
        <v>2.5012500000000002</v>
      </c>
      <c r="I125" s="23">
        <v>2.7631299999999999</v>
      </c>
    </row>
    <row r="126" spans="1:9" s="21" customFormat="1" ht="20.100000000000001" customHeight="1" x14ac:dyDescent="0.2">
      <c r="A126" s="22">
        <v>43280</v>
      </c>
      <c r="B126" s="23" t="s">
        <v>52</v>
      </c>
      <c r="C126" s="23">
        <v>1.9353800000000001</v>
      </c>
      <c r="D126" s="23">
        <v>1.97906</v>
      </c>
      <c r="E126" s="23">
        <v>2.0902500000000002</v>
      </c>
      <c r="F126" s="23">
        <v>2.16913</v>
      </c>
      <c r="G126" s="23">
        <v>2.33575</v>
      </c>
      <c r="H126" s="23">
        <v>2.5012500000000002</v>
      </c>
      <c r="I126" s="23">
        <v>2.7640600000000002</v>
      </c>
    </row>
    <row r="127" spans="1:9" s="21" customFormat="1" ht="20.100000000000001" customHeight="1" x14ac:dyDescent="0.2">
      <c r="A127" s="22">
        <v>43283</v>
      </c>
      <c r="B127" s="23" t="s">
        <v>53</v>
      </c>
      <c r="C127" s="23">
        <v>1.9297500000000001</v>
      </c>
      <c r="D127" s="23">
        <v>1.97688</v>
      </c>
      <c r="E127" s="23">
        <v>2.0999400000000001</v>
      </c>
      <c r="F127" s="23">
        <v>2.17319</v>
      </c>
      <c r="G127" s="23">
        <v>2.3424999999999998</v>
      </c>
      <c r="H127" s="23">
        <v>2.50969</v>
      </c>
      <c r="I127" s="23">
        <v>2.77156</v>
      </c>
    </row>
    <row r="128" spans="1:9" s="21" customFormat="1" ht="20.100000000000001" customHeight="1" x14ac:dyDescent="0.2">
      <c r="A128" s="22">
        <v>43284</v>
      </c>
      <c r="B128" s="23" t="s">
        <v>49</v>
      </c>
      <c r="C128" s="23">
        <v>1.9281299999999999</v>
      </c>
      <c r="D128" s="23">
        <v>1.97306</v>
      </c>
      <c r="E128" s="23">
        <v>2.08588</v>
      </c>
      <c r="F128" s="23">
        <v>2.17475</v>
      </c>
      <c r="G128" s="23">
        <v>2.33725</v>
      </c>
      <c r="H128" s="23">
        <v>2.5068800000000002</v>
      </c>
      <c r="I128" s="23">
        <v>2.7731300000000001</v>
      </c>
    </row>
    <row r="129" spans="1:9" s="21" customFormat="1" ht="20.100000000000001" customHeight="1" x14ac:dyDescent="0.2">
      <c r="A129" s="22">
        <v>43285</v>
      </c>
      <c r="B129" s="23" t="s">
        <v>50</v>
      </c>
      <c r="C129" s="23"/>
      <c r="D129" s="23">
        <v>1.9726300000000001</v>
      </c>
      <c r="E129" s="23">
        <v>2.08725</v>
      </c>
      <c r="F129" s="23">
        <v>2.1715</v>
      </c>
      <c r="G129" s="23">
        <v>2.33731</v>
      </c>
      <c r="H129" s="23">
        <v>2.5059399999999998</v>
      </c>
      <c r="I129" s="23">
        <v>2.7734399999999999</v>
      </c>
    </row>
    <row r="130" spans="1:9" s="21" customFormat="1" ht="20.100000000000001" customHeight="1" x14ac:dyDescent="0.2">
      <c r="A130" s="22">
        <v>43286</v>
      </c>
      <c r="B130" s="23" t="s">
        <v>51</v>
      </c>
      <c r="C130" s="23">
        <v>1.9281299999999999</v>
      </c>
      <c r="D130" s="23">
        <v>1.9726900000000001</v>
      </c>
      <c r="E130" s="23">
        <v>2.0971299999999999</v>
      </c>
      <c r="F130" s="23">
        <v>2.1775600000000002</v>
      </c>
      <c r="G130" s="23">
        <v>2.3386300000000002</v>
      </c>
      <c r="H130" s="23">
        <v>2.5202499999999999</v>
      </c>
      <c r="I130" s="23">
        <v>2.7839999999999998</v>
      </c>
    </row>
    <row r="131" spans="1:9" s="21" customFormat="1" ht="20.100000000000001" customHeight="1" x14ac:dyDescent="0.2">
      <c r="A131" s="22">
        <v>43287</v>
      </c>
      <c r="B131" s="23" t="s">
        <v>52</v>
      </c>
      <c r="C131" s="23">
        <v>1.92563</v>
      </c>
      <c r="D131" s="23">
        <v>1.96875</v>
      </c>
      <c r="E131" s="23">
        <v>2.0862500000000002</v>
      </c>
      <c r="F131" s="23">
        <v>2.1693799999999999</v>
      </c>
      <c r="G131" s="23">
        <v>2.3314400000000002</v>
      </c>
      <c r="H131" s="23">
        <v>2.50813</v>
      </c>
      <c r="I131" s="23">
        <v>2.7737500000000002</v>
      </c>
    </row>
    <row r="132" spans="1:9" s="21" customFormat="1" ht="20.100000000000001" customHeight="1" x14ac:dyDescent="0.2">
      <c r="A132" s="22">
        <v>43290</v>
      </c>
      <c r="B132" s="23" t="s">
        <v>53</v>
      </c>
      <c r="C132" s="23">
        <v>1.92588</v>
      </c>
      <c r="D132" s="23">
        <v>1.96</v>
      </c>
      <c r="E132" s="23">
        <v>2.0775000000000001</v>
      </c>
      <c r="F132" s="23">
        <v>2.1717499999999998</v>
      </c>
      <c r="G132" s="23">
        <v>2.3331300000000001</v>
      </c>
      <c r="H132" s="23">
        <v>2.50875</v>
      </c>
      <c r="I132" s="23">
        <v>2.7759399999999999</v>
      </c>
    </row>
    <row r="133" spans="1:9" s="21" customFormat="1" ht="20.100000000000001" customHeight="1" x14ac:dyDescent="0.2">
      <c r="A133" s="22">
        <v>43291</v>
      </c>
      <c r="B133" s="23" t="s">
        <v>49</v>
      </c>
      <c r="C133" s="23">
        <v>1.9192499999999999</v>
      </c>
      <c r="D133" s="23">
        <v>1.96163</v>
      </c>
      <c r="E133" s="23">
        <v>2.0665</v>
      </c>
      <c r="F133" s="23">
        <v>2.1671299999999998</v>
      </c>
      <c r="G133" s="23">
        <v>2.33744</v>
      </c>
      <c r="H133" s="23">
        <v>2.5118800000000001</v>
      </c>
      <c r="I133" s="23">
        <v>2.7809400000000002</v>
      </c>
    </row>
    <row r="134" spans="1:9" s="21" customFormat="1" ht="20.100000000000001" customHeight="1" x14ac:dyDescent="0.2">
      <c r="A134" s="22">
        <v>43292</v>
      </c>
      <c r="B134" s="23" t="s">
        <v>50</v>
      </c>
      <c r="C134" s="23">
        <v>1.91825</v>
      </c>
      <c r="D134" s="23">
        <v>1.95675</v>
      </c>
      <c r="E134" s="23">
        <v>2.0742500000000001</v>
      </c>
      <c r="F134" s="23">
        <v>2.1728800000000001</v>
      </c>
      <c r="G134" s="23">
        <v>2.3370000000000002</v>
      </c>
      <c r="H134" s="23">
        <v>2.5123799999999998</v>
      </c>
      <c r="I134" s="23">
        <v>2.7784399999999998</v>
      </c>
    </row>
    <row r="135" spans="1:9" s="21" customFormat="1" ht="20.100000000000001" customHeight="1" x14ac:dyDescent="0.2">
      <c r="A135" s="22">
        <v>43293</v>
      </c>
      <c r="B135" s="23" t="s">
        <v>51</v>
      </c>
      <c r="C135" s="23">
        <v>1.9176299999999999</v>
      </c>
      <c r="D135" s="23">
        <v>1.9638800000000001</v>
      </c>
      <c r="E135" s="23">
        <v>2.0716299999999999</v>
      </c>
      <c r="F135" s="23">
        <v>2.17313</v>
      </c>
      <c r="G135" s="23">
        <v>2.3391899999999999</v>
      </c>
      <c r="H135" s="23">
        <v>2.5196299999999998</v>
      </c>
      <c r="I135" s="23">
        <v>2.78531</v>
      </c>
    </row>
    <row r="136" spans="1:9" s="21" customFormat="1" ht="20.100000000000001" customHeight="1" x14ac:dyDescent="0.2">
      <c r="A136" s="22">
        <v>43294</v>
      </c>
      <c r="B136" s="23" t="s">
        <v>52</v>
      </c>
      <c r="C136" s="23">
        <v>1.9176299999999999</v>
      </c>
      <c r="D136" s="23">
        <v>1.9646300000000001</v>
      </c>
      <c r="E136" s="23">
        <v>2.0732499999999998</v>
      </c>
      <c r="F136" s="23">
        <v>2.1733799999999999</v>
      </c>
      <c r="G136" s="23">
        <v>2.3359999999999999</v>
      </c>
      <c r="H136" s="23">
        <v>2.52088</v>
      </c>
      <c r="I136" s="23">
        <v>2.78688</v>
      </c>
    </row>
    <row r="137" spans="1:9" s="21" customFormat="1" ht="20.100000000000001" customHeight="1" x14ac:dyDescent="0.2">
      <c r="A137" s="22">
        <v>43297</v>
      </c>
      <c r="B137" s="23" t="s">
        <v>53</v>
      </c>
      <c r="C137" s="23">
        <v>1.9126300000000001</v>
      </c>
      <c r="D137" s="23">
        <v>1.9564999999999999</v>
      </c>
      <c r="E137" s="23">
        <v>2.0785</v>
      </c>
      <c r="F137" s="23">
        <v>2.1735000000000002</v>
      </c>
      <c r="G137" s="23">
        <v>2.33263</v>
      </c>
      <c r="H137" s="23">
        <v>2.5185</v>
      </c>
      <c r="I137" s="23">
        <v>2.78775</v>
      </c>
    </row>
    <row r="138" spans="1:9" s="21" customFormat="1" ht="20.100000000000001" customHeight="1" x14ac:dyDescent="0.2">
      <c r="A138" s="22">
        <v>43298</v>
      </c>
      <c r="B138" s="23" t="s">
        <v>49</v>
      </c>
      <c r="C138" s="23">
        <v>1.91825</v>
      </c>
      <c r="D138" s="23">
        <v>1.94913</v>
      </c>
      <c r="E138" s="23">
        <v>2.08175</v>
      </c>
      <c r="F138" s="23">
        <v>2.17313</v>
      </c>
      <c r="G138" s="23">
        <v>2.3419400000000001</v>
      </c>
      <c r="H138" s="23">
        <v>2.5231300000000001</v>
      </c>
      <c r="I138" s="23">
        <v>2.79575</v>
      </c>
    </row>
    <row r="139" spans="1:9" s="21" customFormat="1" ht="20.100000000000001" customHeight="1" x14ac:dyDescent="0.2">
      <c r="A139" s="22">
        <v>43299</v>
      </c>
      <c r="B139" s="23" t="s">
        <v>50</v>
      </c>
      <c r="C139" s="23">
        <v>1.9132499999999999</v>
      </c>
      <c r="D139" s="23">
        <v>1.9521299999999999</v>
      </c>
      <c r="E139" s="23">
        <v>2.0862500000000002</v>
      </c>
      <c r="F139" s="23">
        <v>2.1789999999999998</v>
      </c>
      <c r="G139" s="23">
        <v>2.3475000000000001</v>
      </c>
      <c r="H139" s="23">
        <v>2.5266299999999999</v>
      </c>
      <c r="I139" s="23">
        <v>2.8008799999999998</v>
      </c>
    </row>
    <row r="140" spans="1:9" s="21" customFormat="1" ht="20.100000000000001" customHeight="1" x14ac:dyDescent="0.2">
      <c r="A140" s="22">
        <v>43300</v>
      </c>
      <c r="B140" s="23" t="s">
        <v>51</v>
      </c>
      <c r="C140" s="23">
        <v>1.91225</v>
      </c>
      <c r="D140" s="23">
        <v>1.9541299999999999</v>
      </c>
      <c r="E140" s="23">
        <v>2.081</v>
      </c>
      <c r="F140" s="23">
        <v>2.17963</v>
      </c>
      <c r="G140" s="23">
        <v>2.3470599999999999</v>
      </c>
      <c r="H140" s="23">
        <v>2.52725</v>
      </c>
      <c r="I140" s="23">
        <v>2.8074400000000002</v>
      </c>
    </row>
    <row r="141" spans="1:9" s="21" customFormat="1" ht="20.100000000000001" customHeight="1" x14ac:dyDescent="0.2">
      <c r="A141" s="22">
        <v>43301</v>
      </c>
      <c r="B141" s="23" t="s">
        <v>52</v>
      </c>
      <c r="C141" s="23">
        <v>1.9135</v>
      </c>
      <c r="D141" s="23">
        <v>1.9526300000000001</v>
      </c>
      <c r="E141" s="23">
        <v>2.069</v>
      </c>
      <c r="F141" s="23">
        <v>2.1793800000000001</v>
      </c>
      <c r="G141" s="23">
        <v>2.3415599999999999</v>
      </c>
      <c r="H141" s="23">
        <v>2.5242499999999999</v>
      </c>
      <c r="I141" s="23">
        <v>2.8016299999999998</v>
      </c>
    </row>
    <row r="142" spans="1:9" s="21" customFormat="1" ht="20.100000000000001" customHeight="1" x14ac:dyDescent="0.2">
      <c r="A142" s="22">
        <v>43304</v>
      </c>
      <c r="B142" s="23" t="s">
        <v>53</v>
      </c>
      <c r="C142" s="23">
        <v>1.91838</v>
      </c>
      <c r="D142" s="23">
        <v>1.9493799999999999</v>
      </c>
      <c r="E142" s="23">
        <v>2.0636299999999999</v>
      </c>
      <c r="F142" s="23">
        <v>2.1646299999999998</v>
      </c>
      <c r="G142" s="23">
        <v>2.3353100000000002</v>
      </c>
      <c r="H142" s="23">
        <v>2.52088</v>
      </c>
      <c r="I142" s="23">
        <v>2.7991899999999998</v>
      </c>
    </row>
    <row r="143" spans="1:9" s="21" customFormat="1" ht="20.100000000000001" customHeight="1" x14ac:dyDescent="0.2">
      <c r="A143" s="22">
        <v>43305</v>
      </c>
      <c r="B143" s="23" t="s">
        <v>49</v>
      </c>
      <c r="C143" s="23">
        <v>1.9141300000000001</v>
      </c>
      <c r="D143" s="23">
        <v>1.95</v>
      </c>
      <c r="E143" s="23">
        <v>2.0701299999999998</v>
      </c>
      <c r="F143" s="23">
        <v>2.17238</v>
      </c>
      <c r="G143" s="23">
        <v>2.3348800000000001</v>
      </c>
      <c r="H143" s="23">
        <v>2.5225</v>
      </c>
      <c r="I143" s="23">
        <v>2.8079999999999998</v>
      </c>
    </row>
    <row r="144" spans="1:9" s="21" customFormat="1" ht="20.100000000000001" customHeight="1" x14ac:dyDescent="0.2">
      <c r="A144" s="22">
        <v>43306</v>
      </c>
      <c r="B144" s="23" t="s">
        <v>50</v>
      </c>
      <c r="C144" s="23">
        <v>1.9148799999999999</v>
      </c>
      <c r="D144" s="23">
        <v>1.9433800000000001</v>
      </c>
      <c r="E144" s="23">
        <v>2.0768800000000001</v>
      </c>
      <c r="F144" s="23">
        <v>2.1739999999999999</v>
      </c>
      <c r="G144" s="23">
        <v>2.3368799999999998</v>
      </c>
      <c r="H144" s="23">
        <v>2.5225</v>
      </c>
      <c r="I144" s="23">
        <v>2.80775</v>
      </c>
    </row>
    <row r="145" spans="1:9" s="21" customFormat="1" ht="20.100000000000001" customHeight="1" x14ac:dyDescent="0.2">
      <c r="A145" s="22">
        <v>43307</v>
      </c>
      <c r="B145" s="23" t="s">
        <v>51</v>
      </c>
      <c r="C145" s="23">
        <v>1.9172499999999999</v>
      </c>
      <c r="D145" s="23">
        <v>1.95275</v>
      </c>
      <c r="E145" s="23">
        <v>2.0716299999999999</v>
      </c>
      <c r="F145" s="23">
        <v>2.1713800000000001</v>
      </c>
      <c r="G145" s="23">
        <v>2.3388800000000001</v>
      </c>
      <c r="H145" s="23">
        <v>2.5286300000000002</v>
      </c>
      <c r="I145" s="23">
        <v>2.81663</v>
      </c>
    </row>
    <row r="146" spans="1:9" s="21" customFormat="1" ht="20.100000000000001" customHeight="1" x14ac:dyDescent="0.2">
      <c r="A146" s="22">
        <v>43308</v>
      </c>
      <c r="B146" s="23" t="s">
        <v>52</v>
      </c>
      <c r="C146" s="23">
        <v>1.9116299999999999</v>
      </c>
      <c r="D146" s="23">
        <v>1.9532499999999999</v>
      </c>
      <c r="E146" s="23">
        <v>2.0767500000000001</v>
      </c>
      <c r="F146" s="23">
        <v>2.1687500000000002</v>
      </c>
      <c r="G146" s="23">
        <v>2.3423799999999999</v>
      </c>
      <c r="H146" s="23">
        <v>2.5298799999999999</v>
      </c>
      <c r="I146" s="23">
        <v>2.82138</v>
      </c>
    </row>
    <row r="147" spans="1:9" s="21" customFormat="1" ht="20.100000000000001" customHeight="1" x14ac:dyDescent="0.2">
      <c r="A147" s="22">
        <v>43311</v>
      </c>
      <c r="B147" s="23" t="s">
        <v>53</v>
      </c>
      <c r="C147" s="23">
        <v>1.9159999999999999</v>
      </c>
      <c r="D147" s="23">
        <v>1.9553799999999999</v>
      </c>
      <c r="E147" s="23">
        <v>2.0815000000000001</v>
      </c>
      <c r="F147" s="23">
        <v>2.1736300000000002</v>
      </c>
      <c r="G147" s="23">
        <v>2.3431299999999999</v>
      </c>
      <c r="H147" s="23">
        <v>2.5305</v>
      </c>
      <c r="I147" s="23">
        <v>2.82125</v>
      </c>
    </row>
    <row r="148" spans="1:9" s="21" customFormat="1" ht="20.100000000000001" customHeight="1" x14ac:dyDescent="0.2">
      <c r="A148" s="22">
        <v>43312</v>
      </c>
      <c r="B148" s="23" t="s">
        <v>49</v>
      </c>
      <c r="C148" s="23">
        <v>1.9153800000000001</v>
      </c>
      <c r="D148" s="23">
        <v>1.95363</v>
      </c>
      <c r="E148" s="23">
        <v>2.0813799999999998</v>
      </c>
      <c r="F148" s="23">
        <v>2.1790600000000002</v>
      </c>
      <c r="G148" s="23">
        <v>2.34856</v>
      </c>
      <c r="H148" s="23">
        <v>2.5305</v>
      </c>
      <c r="I148" s="23">
        <v>2.8278099999999999</v>
      </c>
    </row>
    <row r="149" spans="1:9" s="21" customFormat="1" ht="20.100000000000001" customHeight="1" x14ac:dyDescent="0.2">
      <c r="A149" s="22">
        <v>43313</v>
      </c>
      <c r="B149" s="23" t="s">
        <v>50</v>
      </c>
      <c r="C149" s="23">
        <v>1.9156299999999999</v>
      </c>
      <c r="D149" s="23">
        <v>1.9452499999999999</v>
      </c>
      <c r="E149" s="23">
        <v>2.0821299999999998</v>
      </c>
      <c r="F149" s="23">
        <v>2.1807500000000002</v>
      </c>
      <c r="G149" s="23">
        <v>2.3482500000000002</v>
      </c>
      <c r="H149" s="23">
        <v>2.53363</v>
      </c>
      <c r="I149" s="23">
        <v>2.8321299999999998</v>
      </c>
    </row>
    <row r="150" spans="1:9" s="21" customFormat="1" ht="20.100000000000001" customHeight="1" x14ac:dyDescent="0.2">
      <c r="A150" s="22">
        <v>43314</v>
      </c>
      <c r="B150" s="23" t="s">
        <v>51</v>
      </c>
      <c r="C150" s="23">
        <v>1.92025</v>
      </c>
      <c r="D150" s="23">
        <v>1.9490000000000001</v>
      </c>
      <c r="E150" s="23">
        <v>2.08019</v>
      </c>
      <c r="F150" s="23">
        <v>2.1820599999999999</v>
      </c>
      <c r="G150" s="23">
        <v>2.3405</v>
      </c>
      <c r="H150" s="23">
        <v>2.5305</v>
      </c>
      <c r="I150" s="23">
        <v>2.82775</v>
      </c>
    </row>
    <row r="151" spans="1:9" s="21" customFormat="1" ht="20.100000000000001" customHeight="1" x14ac:dyDescent="0.2">
      <c r="A151" s="22">
        <v>43315</v>
      </c>
      <c r="B151" s="23" t="s">
        <v>52</v>
      </c>
      <c r="C151" s="23">
        <v>1.915</v>
      </c>
      <c r="D151" s="23">
        <v>1.95025</v>
      </c>
      <c r="E151" s="23">
        <v>2.07931</v>
      </c>
      <c r="F151" s="23">
        <v>2.1823800000000002</v>
      </c>
      <c r="G151" s="23">
        <v>2.343</v>
      </c>
      <c r="H151" s="23">
        <v>2.52475</v>
      </c>
      <c r="I151" s="23">
        <v>2.8273799999999998</v>
      </c>
    </row>
    <row r="152" spans="1:9" s="21" customFormat="1" ht="20.100000000000001" customHeight="1" x14ac:dyDescent="0.2">
      <c r="A152" s="22">
        <v>43318</v>
      </c>
      <c r="B152" s="23" t="s">
        <v>53</v>
      </c>
      <c r="C152" s="23">
        <v>1.92</v>
      </c>
      <c r="D152" s="23">
        <v>1.9504999999999999</v>
      </c>
      <c r="E152" s="23">
        <v>2.08256</v>
      </c>
      <c r="F152" s="23">
        <v>2.1784400000000002</v>
      </c>
      <c r="G152" s="23">
        <v>2.3432499999999998</v>
      </c>
      <c r="H152" s="23">
        <v>2.52163</v>
      </c>
      <c r="I152" s="23">
        <v>2.8268800000000001</v>
      </c>
    </row>
    <row r="153" spans="1:9" s="21" customFormat="1" ht="20.100000000000001" customHeight="1" x14ac:dyDescent="0.2">
      <c r="A153" s="22">
        <v>43319</v>
      </c>
      <c r="B153" s="23" t="s">
        <v>49</v>
      </c>
      <c r="C153" s="23">
        <v>1.9133800000000001</v>
      </c>
      <c r="D153" s="23">
        <v>1.95</v>
      </c>
      <c r="E153" s="23">
        <v>2.0711300000000001</v>
      </c>
      <c r="F153" s="23">
        <v>2.1838099999999998</v>
      </c>
      <c r="G153" s="23">
        <v>2.34144</v>
      </c>
      <c r="H153" s="23">
        <v>2.5223800000000001</v>
      </c>
      <c r="I153" s="23">
        <v>2.8243100000000001</v>
      </c>
    </row>
    <row r="154" spans="1:9" s="21" customFormat="1" ht="20.100000000000001" customHeight="1" x14ac:dyDescent="0.2">
      <c r="A154" s="22">
        <v>43320</v>
      </c>
      <c r="B154" s="23" t="s">
        <v>50</v>
      </c>
      <c r="C154" s="23">
        <v>1.91625</v>
      </c>
      <c r="D154" s="23">
        <v>1.9513799999999999</v>
      </c>
      <c r="E154" s="23">
        <v>2.0634399999999999</v>
      </c>
      <c r="F154" s="23">
        <v>2.1855000000000002</v>
      </c>
      <c r="G154" s="23">
        <v>2.3405</v>
      </c>
      <c r="H154" s="23">
        <v>2.5169999999999999</v>
      </c>
      <c r="I154" s="23">
        <v>2.82775</v>
      </c>
    </row>
    <row r="155" spans="1:9" s="21" customFormat="1" ht="20.100000000000001" customHeight="1" x14ac:dyDescent="0.2">
      <c r="A155" s="22">
        <v>43321</v>
      </c>
      <c r="B155" s="23" t="s">
        <v>51</v>
      </c>
      <c r="C155" s="23">
        <v>1.91625</v>
      </c>
      <c r="D155" s="23">
        <v>1.95425</v>
      </c>
      <c r="E155" s="23">
        <v>2.06731</v>
      </c>
      <c r="F155" s="23">
        <v>2.19238</v>
      </c>
      <c r="G155" s="23">
        <v>2.3380000000000001</v>
      </c>
      <c r="H155" s="23">
        <v>2.5171299999999999</v>
      </c>
      <c r="I155" s="23">
        <v>2.8275000000000001</v>
      </c>
    </row>
    <row r="156" spans="1:9" s="21" customFormat="1" ht="20.100000000000001" customHeight="1" x14ac:dyDescent="0.2">
      <c r="A156" s="22">
        <v>43322</v>
      </c>
      <c r="B156" s="23" t="s">
        <v>52</v>
      </c>
      <c r="C156" s="23">
        <v>1.9125000000000001</v>
      </c>
      <c r="D156" s="23">
        <v>1.9518800000000001</v>
      </c>
      <c r="E156" s="23">
        <v>2.0667499999999999</v>
      </c>
      <c r="F156" s="23">
        <v>2.1863800000000002</v>
      </c>
      <c r="G156" s="23">
        <v>2.3192499999999998</v>
      </c>
      <c r="H156" s="23">
        <v>2.51213</v>
      </c>
      <c r="I156" s="23">
        <v>2.8155000000000001</v>
      </c>
    </row>
    <row r="157" spans="1:9" s="21" customFormat="1" ht="20.100000000000001" customHeight="1" x14ac:dyDescent="0.2">
      <c r="A157" s="22">
        <v>43325</v>
      </c>
      <c r="B157" s="23" t="s">
        <v>53</v>
      </c>
      <c r="C157" s="23">
        <v>1.9125000000000001</v>
      </c>
      <c r="D157" s="23">
        <v>1.9528799999999999</v>
      </c>
      <c r="E157" s="23">
        <v>2.0626899999999999</v>
      </c>
      <c r="F157" s="23">
        <v>2.1783800000000002</v>
      </c>
      <c r="G157" s="23">
        <v>2.3137500000000002</v>
      </c>
      <c r="H157" s="23">
        <v>2.5076299999999998</v>
      </c>
      <c r="I157" s="23">
        <v>2.8029999999999999</v>
      </c>
    </row>
    <row r="158" spans="1:9" s="21" customFormat="1" ht="20.100000000000001" customHeight="1" x14ac:dyDescent="0.2">
      <c r="A158" s="22">
        <v>43326</v>
      </c>
      <c r="B158" s="23" t="s">
        <v>49</v>
      </c>
      <c r="C158" s="23">
        <v>1.9132499999999999</v>
      </c>
      <c r="D158" s="23">
        <v>1.95163</v>
      </c>
      <c r="E158" s="23">
        <v>2.0634999999999999</v>
      </c>
      <c r="F158" s="23">
        <v>2.1826300000000001</v>
      </c>
      <c r="G158" s="23">
        <v>2.3151899999999999</v>
      </c>
      <c r="H158" s="23">
        <v>2.5123799999999998</v>
      </c>
      <c r="I158" s="23">
        <v>2.8134999999999999</v>
      </c>
    </row>
    <row r="159" spans="1:9" s="21" customFormat="1" ht="20.100000000000001" customHeight="1" x14ac:dyDescent="0.2">
      <c r="A159" s="22">
        <v>43327</v>
      </c>
      <c r="B159" s="23" t="s">
        <v>50</v>
      </c>
      <c r="C159" s="23">
        <v>1.9137500000000001</v>
      </c>
      <c r="D159" s="23">
        <v>1.952</v>
      </c>
      <c r="E159" s="23">
        <v>2.06</v>
      </c>
      <c r="F159" s="23">
        <v>2.18275</v>
      </c>
      <c r="G159" s="23">
        <v>2.31175</v>
      </c>
      <c r="H159" s="23">
        <v>2.5106299999999999</v>
      </c>
      <c r="I159" s="23">
        <v>2.81488</v>
      </c>
    </row>
    <row r="160" spans="1:9" s="21" customFormat="1" ht="20.100000000000001" customHeight="1" x14ac:dyDescent="0.2">
      <c r="A160" s="22">
        <v>43328</v>
      </c>
      <c r="B160" s="23" t="s">
        <v>51</v>
      </c>
      <c r="C160" s="23">
        <v>1.92</v>
      </c>
      <c r="D160" s="23">
        <v>1.9600599999999999</v>
      </c>
      <c r="E160" s="23">
        <v>2.0773799999999998</v>
      </c>
      <c r="F160" s="23">
        <v>2.1961300000000001</v>
      </c>
      <c r="G160" s="23">
        <v>2.3222499999999999</v>
      </c>
      <c r="H160" s="23">
        <v>2.5135000000000001</v>
      </c>
      <c r="I160" s="23">
        <v>2.81663</v>
      </c>
    </row>
    <row r="161" spans="1:9" s="21" customFormat="1" ht="20.100000000000001" customHeight="1" x14ac:dyDescent="0.2">
      <c r="A161" s="22">
        <v>43329</v>
      </c>
      <c r="B161" s="23" t="s">
        <v>52</v>
      </c>
      <c r="C161" s="23">
        <v>1.9168799999999999</v>
      </c>
      <c r="D161" s="23">
        <v>1.96269</v>
      </c>
      <c r="E161" s="23">
        <v>2.0693800000000002</v>
      </c>
      <c r="F161" s="23">
        <v>2.18588</v>
      </c>
      <c r="G161" s="23">
        <v>2.3118799999999999</v>
      </c>
      <c r="H161" s="23">
        <v>2.5107499999999998</v>
      </c>
      <c r="I161" s="23">
        <v>2.8130000000000002</v>
      </c>
    </row>
    <row r="162" spans="1:9" s="21" customFormat="1" ht="20.100000000000001" customHeight="1" x14ac:dyDescent="0.2">
      <c r="A162" s="22">
        <v>43332</v>
      </c>
      <c r="B162" s="23" t="s">
        <v>53</v>
      </c>
      <c r="C162" s="23">
        <v>1.9175</v>
      </c>
      <c r="D162" s="23">
        <v>1.95719</v>
      </c>
      <c r="E162" s="23">
        <v>2.0670000000000002</v>
      </c>
      <c r="F162" s="23">
        <v>2.1912500000000001</v>
      </c>
      <c r="G162" s="23">
        <v>2.3096299999999998</v>
      </c>
      <c r="H162" s="23">
        <v>2.5086300000000001</v>
      </c>
      <c r="I162" s="23">
        <v>2.8130000000000002</v>
      </c>
    </row>
    <row r="163" spans="1:9" s="21" customFormat="1" ht="20.100000000000001" customHeight="1" x14ac:dyDescent="0.2">
      <c r="A163" s="22">
        <v>43333</v>
      </c>
      <c r="B163" s="23" t="s">
        <v>49</v>
      </c>
      <c r="C163" s="23">
        <v>1.9196299999999999</v>
      </c>
      <c r="D163" s="23">
        <v>1.9532499999999999</v>
      </c>
      <c r="E163" s="23">
        <v>2.0658799999999999</v>
      </c>
      <c r="F163" s="23">
        <v>2.1913800000000001</v>
      </c>
      <c r="G163" s="23">
        <v>2.3102499999999999</v>
      </c>
      <c r="H163" s="23">
        <v>2.51288</v>
      </c>
      <c r="I163" s="23">
        <v>2.80775</v>
      </c>
    </row>
    <row r="164" spans="1:9" s="21" customFormat="1" ht="20.100000000000001" customHeight="1" x14ac:dyDescent="0.2">
      <c r="A164" s="22">
        <v>43334</v>
      </c>
      <c r="B164" s="23" t="s">
        <v>50</v>
      </c>
      <c r="C164" s="23">
        <v>1.9177500000000001</v>
      </c>
      <c r="D164" s="23">
        <v>1.9490000000000001</v>
      </c>
      <c r="E164" s="23">
        <v>2.0659999999999998</v>
      </c>
      <c r="F164" s="23">
        <v>2.1894999999999998</v>
      </c>
      <c r="G164" s="23">
        <v>2.31175</v>
      </c>
      <c r="H164" s="23">
        <v>2.5125000000000002</v>
      </c>
      <c r="I164" s="23">
        <v>2.8079999999999998</v>
      </c>
    </row>
    <row r="165" spans="1:9" s="21" customFormat="1" ht="20.100000000000001" customHeight="1" x14ac:dyDescent="0.2">
      <c r="A165" s="22">
        <v>43335</v>
      </c>
      <c r="B165" s="23" t="s">
        <v>51</v>
      </c>
      <c r="C165" s="23">
        <v>1.9181299999999999</v>
      </c>
      <c r="D165" s="23">
        <v>1.95513</v>
      </c>
      <c r="E165" s="23">
        <v>2.0647500000000001</v>
      </c>
      <c r="F165" s="23">
        <v>2.1970000000000001</v>
      </c>
      <c r="G165" s="23">
        <v>2.3113800000000002</v>
      </c>
      <c r="H165" s="23">
        <v>2.51613</v>
      </c>
      <c r="I165" s="23">
        <v>2.8119999999999998</v>
      </c>
    </row>
    <row r="166" spans="1:9" s="21" customFormat="1" ht="20.100000000000001" customHeight="1" x14ac:dyDescent="0.2">
      <c r="A166" s="22">
        <v>43336</v>
      </c>
      <c r="B166" s="23" t="s">
        <v>52</v>
      </c>
      <c r="C166" s="23">
        <v>1.9188799999999999</v>
      </c>
      <c r="D166" s="23">
        <v>1.9590000000000001</v>
      </c>
      <c r="E166" s="23">
        <v>2.0727500000000001</v>
      </c>
      <c r="F166" s="23">
        <v>2.1960000000000002</v>
      </c>
      <c r="G166" s="23">
        <v>2.31725</v>
      </c>
      <c r="H166" s="23">
        <v>2.5230000000000001</v>
      </c>
      <c r="I166" s="23">
        <v>2.82</v>
      </c>
    </row>
    <row r="167" spans="1:9" s="21" customFormat="1" ht="20.100000000000001" customHeight="1" x14ac:dyDescent="0.2">
      <c r="A167" s="22">
        <v>43340</v>
      </c>
      <c r="B167" s="23" t="s">
        <v>49</v>
      </c>
      <c r="C167" s="23">
        <v>1.9148799999999999</v>
      </c>
      <c r="D167" s="23">
        <v>1.95675</v>
      </c>
      <c r="E167" s="23">
        <v>2.0748799999999998</v>
      </c>
      <c r="F167" s="23">
        <v>2.19963</v>
      </c>
      <c r="G167" s="23">
        <v>2.3147500000000001</v>
      </c>
      <c r="H167" s="23">
        <v>2.5282499999999999</v>
      </c>
      <c r="I167" s="23">
        <v>2.8281299999999998</v>
      </c>
    </row>
    <row r="168" spans="1:9" s="21" customFormat="1" ht="20.100000000000001" customHeight="1" x14ac:dyDescent="0.2">
      <c r="A168" s="22">
        <v>43341</v>
      </c>
      <c r="B168" s="23" t="s">
        <v>50</v>
      </c>
      <c r="C168" s="23">
        <v>1.9153800000000001</v>
      </c>
      <c r="D168" s="23">
        <v>1.9572499999999999</v>
      </c>
      <c r="E168" s="23">
        <v>2.0758800000000002</v>
      </c>
      <c r="F168" s="23">
        <v>2.1949999999999998</v>
      </c>
      <c r="G168" s="23">
        <v>2.31263</v>
      </c>
      <c r="H168" s="23">
        <v>2.5274999999999999</v>
      </c>
      <c r="I168" s="23">
        <v>2.8330000000000002</v>
      </c>
    </row>
    <row r="169" spans="1:9" s="21" customFormat="1" ht="20.100000000000001" customHeight="1" x14ac:dyDescent="0.2">
      <c r="A169" s="22">
        <v>43342</v>
      </c>
      <c r="B169" s="23" t="s">
        <v>51</v>
      </c>
      <c r="C169" s="23">
        <v>1.92</v>
      </c>
      <c r="D169" s="23">
        <v>1.9596899999999999</v>
      </c>
      <c r="E169" s="23">
        <v>2.1037499999999998</v>
      </c>
      <c r="F169" s="23">
        <v>2.2084999999999999</v>
      </c>
      <c r="G169" s="23">
        <v>2.32125</v>
      </c>
      <c r="H169" s="23">
        <v>2.5338799999999999</v>
      </c>
      <c r="I169" s="23">
        <v>2.8423799999999999</v>
      </c>
    </row>
    <row r="170" spans="1:9" s="21" customFormat="1" ht="20.100000000000001" customHeight="1" x14ac:dyDescent="0.2">
      <c r="A170" s="22">
        <v>43343</v>
      </c>
      <c r="B170" s="23" t="s">
        <v>52</v>
      </c>
      <c r="C170" s="23">
        <v>1.9148799999999999</v>
      </c>
      <c r="D170" s="23">
        <v>1.962</v>
      </c>
      <c r="E170" s="23">
        <v>2.11375</v>
      </c>
      <c r="F170" s="23">
        <v>2.2061299999999999</v>
      </c>
      <c r="G170" s="23">
        <v>2.3207499999999999</v>
      </c>
      <c r="H170" s="23">
        <v>2.5356299999999998</v>
      </c>
      <c r="I170" s="23">
        <v>2.84</v>
      </c>
    </row>
    <row r="171" spans="1:9" s="21" customFormat="1" ht="20.100000000000001" customHeight="1" x14ac:dyDescent="0.2">
      <c r="A171" s="22">
        <v>43346</v>
      </c>
      <c r="B171" s="23" t="s">
        <v>53</v>
      </c>
      <c r="C171" s="23"/>
      <c r="D171" s="23">
        <v>1.9586300000000001</v>
      </c>
      <c r="E171" s="23">
        <v>2.1095000000000002</v>
      </c>
      <c r="F171" s="23">
        <v>2.2063799999999998</v>
      </c>
      <c r="G171" s="23">
        <v>2.3156300000000001</v>
      </c>
      <c r="H171" s="23">
        <v>2.5350000000000001</v>
      </c>
      <c r="I171" s="23">
        <v>2.8388800000000001</v>
      </c>
    </row>
    <row r="172" spans="1:9" s="21" customFormat="1" ht="20.100000000000001" customHeight="1" x14ac:dyDescent="0.2">
      <c r="A172" s="22">
        <v>43347</v>
      </c>
      <c r="B172" s="23" t="s">
        <v>49</v>
      </c>
      <c r="C172" s="23">
        <v>1.9136299999999999</v>
      </c>
      <c r="D172" s="23">
        <v>1.96238</v>
      </c>
      <c r="E172" s="23">
        <v>2.1203099999999999</v>
      </c>
      <c r="F172" s="23">
        <v>2.2118799999999998</v>
      </c>
      <c r="G172" s="23">
        <v>2.3227500000000001</v>
      </c>
      <c r="H172" s="23">
        <v>2.5390000000000001</v>
      </c>
      <c r="I172" s="23">
        <v>2.8428800000000001</v>
      </c>
    </row>
    <row r="173" spans="1:9" s="21" customFormat="1" ht="20.100000000000001" customHeight="1" x14ac:dyDescent="0.2">
      <c r="A173" s="22">
        <v>43348</v>
      </c>
      <c r="B173" s="23" t="s">
        <v>50</v>
      </c>
      <c r="C173" s="23">
        <v>1.91875</v>
      </c>
      <c r="D173" s="23">
        <v>1.95319</v>
      </c>
      <c r="E173" s="23">
        <v>2.1204999999999998</v>
      </c>
      <c r="F173" s="23">
        <v>2.20688</v>
      </c>
      <c r="G173" s="23">
        <v>2.3168099999999998</v>
      </c>
      <c r="H173" s="23">
        <v>2.5405600000000002</v>
      </c>
      <c r="I173" s="23">
        <v>2.8439399999999999</v>
      </c>
    </row>
    <row r="174" spans="1:9" s="21" customFormat="1" ht="20.100000000000001" customHeight="1" x14ac:dyDescent="0.2">
      <c r="A174" s="22">
        <v>43349</v>
      </c>
      <c r="B174" s="23" t="s">
        <v>51</v>
      </c>
      <c r="C174" s="23">
        <v>1.91838</v>
      </c>
      <c r="D174" s="23">
        <v>1.9610000000000001</v>
      </c>
      <c r="E174" s="23">
        <v>2.1325599999999998</v>
      </c>
      <c r="F174" s="23">
        <v>2.2094999999999998</v>
      </c>
      <c r="G174" s="23">
        <v>2.3270599999999999</v>
      </c>
      <c r="H174" s="23">
        <v>2.54419</v>
      </c>
      <c r="I174" s="23">
        <v>2.8490600000000001</v>
      </c>
    </row>
    <row r="175" spans="1:9" s="21" customFormat="1" ht="20.100000000000001" customHeight="1" x14ac:dyDescent="0.2">
      <c r="A175" s="22">
        <v>43350</v>
      </c>
      <c r="B175" s="23" t="s">
        <v>52</v>
      </c>
      <c r="C175" s="23">
        <v>1.91875</v>
      </c>
      <c r="D175" s="23">
        <v>1.9593799999999999</v>
      </c>
      <c r="E175" s="23">
        <v>2.1309999999999998</v>
      </c>
      <c r="F175" s="23">
        <v>2.21088</v>
      </c>
      <c r="G175" s="23">
        <v>2.3312499999999998</v>
      </c>
      <c r="H175" s="23">
        <v>2.5415000000000001</v>
      </c>
      <c r="I175" s="23">
        <v>2.8454999999999999</v>
      </c>
    </row>
    <row r="176" spans="1:9" s="21" customFormat="1" ht="20.100000000000001" customHeight="1" x14ac:dyDescent="0.2">
      <c r="A176" s="22">
        <v>43353</v>
      </c>
      <c r="B176" s="23" t="s">
        <v>53</v>
      </c>
      <c r="C176" s="23">
        <v>1.91913</v>
      </c>
      <c r="D176" s="23">
        <v>1.9614400000000001</v>
      </c>
      <c r="E176" s="23">
        <v>2.1389399999999998</v>
      </c>
      <c r="F176" s="23">
        <v>2.2172499999999999</v>
      </c>
      <c r="G176" s="23">
        <v>2.3342499999999999</v>
      </c>
      <c r="H176" s="23">
        <v>2.5522499999999999</v>
      </c>
      <c r="I176" s="23">
        <v>2.8626299999999998</v>
      </c>
    </row>
    <row r="177" spans="1:9" s="21" customFormat="1" ht="20.100000000000001" customHeight="1" x14ac:dyDescent="0.2">
      <c r="A177" s="22">
        <v>43354</v>
      </c>
      <c r="B177" s="23" t="s">
        <v>49</v>
      </c>
      <c r="C177" s="23">
        <v>1.91513</v>
      </c>
      <c r="D177" s="23">
        <v>1.9618800000000001</v>
      </c>
      <c r="E177" s="23">
        <v>2.1479400000000002</v>
      </c>
      <c r="F177" s="23">
        <v>2.22113</v>
      </c>
      <c r="G177" s="23">
        <v>2.3342499999999999</v>
      </c>
      <c r="H177" s="23">
        <v>2.55775</v>
      </c>
      <c r="I177" s="23">
        <v>2.8685</v>
      </c>
    </row>
    <row r="178" spans="1:9" s="21" customFormat="1" ht="20.100000000000001" customHeight="1" x14ac:dyDescent="0.2">
      <c r="A178" s="22">
        <v>43355</v>
      </c>
      <c r="B178" s="23" t="s">
        <v>50</v>
      </c>
      <c r="C178" s="23">
        <v>1.919</v>
      </c>
      <c r="D178" s="23">
        <v>1.95306</v>
      </c>
      <c r="E178" s="23">
        <v>2.1344400000000001</v>
      </c>
      <c r="F178" s="23">
        <v>2.21475</v>
      </c>
      <c r="G178" s="23">
        <v>2.3315000000000001</v>
      </c>
      <c r="H178" s="23">
        <v>2.5606300000000002</v>
      </c>
      <c r="I178" s="23">
        <v>2.86456</v>
      </c>
    </row>
    <row r="179" spans="1:9" s="21" customFormat="1" ht="20.100000000000001" customHeight="1" x14ac:dyDescent="0.2">
      <c r="A179" s="22">
        <v>43356</v>
      </c>
      <c r="B179" s="23" t="s">
        <v>51</v>
      </c>
      <c r="C179" s="23">
        <v>1.91988</v>
      </c>
      <c r="D179" s="23">
        <v>1.9653099999999999</v>
      </c>
      <c r="E179" s="23">
        <v>2.1584400000000001</v>
      </c>
      <c r="F179" s="23">
        <v>2.2309999999999999</v>
      </c>
      <c r="G179" s="23">
        <v>2.33413</v>
      </c>
      <c r="H179" s="23">
        <v>2.5671300000000001</v>
      </c>
      <c r="I179" s="23">
        <v>2.87344</v>
      </c>
    </row>
    <row r="180" spans="1:9" s="21" customFormat="1" ht="20.100000000000001" customHeight="1" x14ac:dyDescent="0.2">
      <c r="A180" s="22">
        <v>43357</v>
      </c>
      <c r="B180" s="23" t="s">
        <v>52</v>
      </c>
      <c r="C180" s="23">
        <v>1.91513</v>
      </c>
      <c r="D180" s="23">
        <v>1.9660599999999999</v>
      </c>
      <c r="E180" s="23">
        <v>2.1646899999999998</v>
      </c>
      <c r="F180" s="23">
        <v>2.2317499999999999</v>
      </c>
      <c r="G180" s="23">
        <v>2.3371300000000002</v>
      </c>
      <c r="H180" s="23">
        <v>2.5687500000000001</v>
      </c>
      <c r="I180" s="23">
        <v>2.8801899999999998</v>
      </c>
    </row>
    <row r="181" spans="1:9" s="21" customFormat="1" ht="20.100000000000001" customHeight="1" x14ac:dyDescent="0.2">
      <c r="A181" s="111">
        <v>43360</v>
      </c>
      <c r="B181" s="23" t="s">
        <v>53</v>
      </c>
      <c r="C181" s="23">
        <v>1.9146300000000001</v>
      </c>
      <c r="D181" s="23">
        <v>1.96713</v>
      </c>
      <c r="E181" s="23">
        <v>2.1681300000000001</v>
      </c>
      <c r="F181" s="23">
        <v>2.2336299999999998</v>
      </c>
      <c r="G181" s="23">
        <v>2.3387500000000001</v>
      </c>
      <c r="H181" s="112">
        <v>2.5707499999999999</v>
      </c>
      <c r="I181" s="23">
        <v>2.8794400000000002</v>
      </c>
    </row>
    <row r="182" spans="1:9" s="21" customFormat="1" ht="20.100000000000001" customHeight="1" x14ac:dyDescent="0.2">
      <c r="A182" s="22">
        <v>43361</v>
      </c>
      <c r="B182" s="23" t="s">
        <v>49</v>
      </c>
      <c r="C182" s="23">
        <v>1.9188799999999999</v>
      </c>
      <c r="D182" s="23">
        <v>1.9716899999999999</v>
      </c>
      <c r="E182" s="23">
        <v>2.1652499999999999</v>
      </c>
      <c r="F182" s="23">
        <v>2.2374999999999998</v>
      </c>
      <c r="G182" s="23">
        <v>2.3374999999999999</v>
      </c>
      <c r="H182" s="23">
        <v>2.5678800000000002</v>
      </c>
      <c r="I182" s="23">
        <v>2.8795000000000002</v>
      </c>
    </row>
    <row r="183" spans="1:9" s="21" customFormat="1" ht="20.100000000000001" customHeight="1" x14ac:dyDescent="0.2">
      <c r="A183" s="22">
        <v>43362</v>
      </c>
      <c r="B183" s="23" t="s">
        <v>50</v>
      </c>
      <c r="C183" s="23">
        <v>1.9186300000000001</v>
      </c>
      <c r="D183" s="23">
        <v>1.9753099999999999</v>
      </c>
      <c r="E183" s="23">
        <v>2.1824400000000002</v>
      </c>
      <c r="F183" s="23">
        <v>2.2475000000000001</v>
      </c>
      <c r="G183" s="23">
        <v>2.35338</v>
      </c>
      <c r="H183" s="23">
        <v>2.5717500000000002</v>
      </c>
      <c r="I183" s="23">
        <v>2.88713</v>
      </c>
    </row>
    <row r="184" spans="1:9" s="21" customFormat="1" ht="20.100000000000001" customHeight="1" x14ac:dyDescent="0.2">
      <c r="A184" s="22">
        <v>43363</v>
      </c>
      <c r="B184" s="23" t="s">
        <v>51</v>
      </c>
      <c r="C184" s="23">
        <v>1.9173800000000001</v>
      </c>
      <c r="D184" s="23">
        <v>2.0406300000000002</v>
      </c>
      <c r="E184" s="23">
        <v>2.2121900000000001</v>
      </c>
      <c r="F184" s="23">
        <v>2.2635000000000001</v>
      </c>
      <c r="G184" s="23">
        <v>2.3663799999999999</v>
      </c>
      <c r="H184" s="23">
        <v>2.5848800000000001</v>
      </c>
      <c r="I184" s="23">
        <v>2.89663</v>
      </c>
    </row>
    <row r="185" spans="1:9" s="21" customFormat="1" ht="20.100000000000001" customHeight="1" x14ac:dyDescent="0.2">
      <c r="A185" s="22">
        <v>43364</v>
      </c>
      <c r="B185" s="23" t="s">
        <v>52</v>
      </c>
      <c r="C185" s="23">
        <v>1.9208799999999999</v>
      </c>
      <c r="D185" s="23">
        <v>2.085</v>
      </c>
      <c r="E185" s="23">
        <v>2.2158099999999998</v>
      </c>
      <c r="F185" s="23">
        <v>2.2678799999999999</v>
      </c>
      <c r="G185" s="23">
        <v>2.37263</v>
      </c>
      <c r="H185" s="23">
        <v>2.5920000000000001</v>
      </c>
      <c r="I185" s="23">
        <v>2.9082499999999998</v>
      </c>
    </row>
    <row r="186" spans="1:9" s="21" customFormat="1" ht="20.100000000000001" customHeight="1" x14ac:dyDescent="0.2">
      <c r="A186" s="22">
        <v>43367</v>
      </c>
      <c r="B186" s="23" t="s">
        <v>53</v>
      </c>
      <c r="C186" s="23">
        <v>1.9179999999999999</v>
      </c>
      <c r="D186" s="23">
        <v>2.1259999999999999</v>
      </c>
      <c r="E186" s="23">
        <v>2.2181899999999999</v>
      </c>
      <c r="F186" s="23">
        <v>2.2725</v>
      </c>
      <c r="G186" s="23">
        <v>2.3736299999999999</v>
      </c>
      <c r="H186" s="23">
        <v>2.5936300000000001</v>
      </c>
      <c r="I186" s="23">
        <v>2.9088799999999999</v>
      </c>
    </row>
    <row r="187" spans="1:9" s="21" customFormat="1" ht="20.100000000000001" customHeight="1" x14ac:dyDescent="0.2">
      <c r="A187" s="22">
        <v>43368</v>
      </c>
      <c r="B187" s="23" t="s">
        <v>49</v>
      </c>
      <c r="C187" s="23">
        <v>1.91625</v>
      </c>
      <c r="D187" s="23">
        <v>2.1673800000000001</v>
      </c>
      <c r="E187" s="23">
        <v>2.2300599999999999</v>
      </c>
      <c r="F187" s="23">
        <v>2.2829999999999999</v>
      </c>
      <c r="G187" s="23">
        <v>2.3809999999999998</v>
      </c>
      <c r="H187" s="23">
        <v>2.59538</v>
      </c>
      <c r="I187" s="23">
        <v>2.91188</v>
      </c>
    </row>
    <row r="188" spans="1:9" s="21" customFormat="1" ht="20.100000000000001" customHeight="1" x14ac:dyDescent="0.2">
      <c r="A188" s="22">
        <v>43369</v>
      </c>
      <c r="B188" s="23" t="s">
        <v>50</v>
      </c>
      <c r="C188" s="23">
        <v>1.9252499999999999</v>
      </c>
      <c r="D188" s="23">
        <v>2.1626300000000001</v>
      </c>
      <c r="E188" s="23">
        <v>2.2421899999999999</v>
      </c>
      <c r="F188" s="23">
        <v>2.2942499999999999</v>
      </c>
      <c r="G188" s="23">
        <v>2.3861300000000001</v>
      </c>
      <c r="H188" s="23">
        <v>2.5935000000000001</v>
      </c>
      <c r="I188" s="23">
        <v>2.9144999999999999</v>
      </c>
    </row>
    <row r="189" spans="1:9" s="21" customFormat="1" ht="20.100000000000001" customHeight="1" x14ac:dyDescent="0.2">
      <c r="A189" s="22">
        <v>43370</v>
      </c>
      <c r="B189" s="23" t="s">
        <v>51</v>
      </c>
      <c r="C189" s="23">
        <v>2.17388</v>
      </c>
      <c r="D189" s="23">
        <v>2.1958799999999998</v>
      </c>
      <c r="E189" s="23">
        <v>2.2559999999999998</v>
      </c>
      <c r="F189" s="23">
        <v>2.30375</v>
      </c>
      <c r="G189" s="23">
        <v>2.3959999999999999</v>
      </c>
      <c r="H189" s="23">
        <v>2.6004999999999998</v>
      </c>
      <c r="I189" s="23">
        <v>2.9173800000000001</v>
      </c>
    </row>
    <row r="190" spans="1:9" s="21" customFormat="1" ht="20.100000000000001" customHeight="1" x14ac:dyDescent="0.2">
      <c r="A190" s="22">
        <v>43371</v>
      </c>
      <c r="B190" s="23" t="s">
        <v>52</v>
      </c>
      <c r="C190" s="23">
        <v>2.1713800000000001</v>
      </c>
      <c r="D190" s="23">
        <v>2.1986300000000001</v>
      </c>
      <c r="E190" s="23">
        <v>2.2605599999999999</v>
      </c>
      <c r="F190" s="23">
        <v>2.3107500000000001</v>
      </c>
      <c r="G190" s="23">
        <v>2.39838</v>
      </c>
      <c r="H190" s="23">
        <v>2.6038800000000002</v>
      </c>
      <c r="I190" s="23">
        <v>2.9186299999999998</v>
      </c>
    </row>
    <row r="191" spans="1:9" s="21" customFormat="1" ht="20.100000000000001" customHeight="1" x14ac:dyDescent="0.2">
      <c r="A191" s="22">
        <v>43374</v>
      </c>
      <c r="B191" s="23" t="s">
        <v>53</v>
      </c>
      <c r="C191" s="23">
        <v>2.17075</v>
      </c>
      <c r="D191" s="23">
        <v>2.20913</v>
      </c>
      <c r="E191" s="23">
        <v>2.2651300000000001</v>
      </c>
      <c r="F191" s="23">
        <v>2.3097500000000002</v>
      </c>
      <c r="G191" s="23">
        <v>2.3981300000000001</v>
      </c>
      <c r="H191" s="23">
        <v>2.6062500000000002</v>
      </c>
      <c r="I191" s="23">
        <v>2.9255</v>
      </c>
    </row>
    <row r="192" spans="1:9" s="21" customFormat="1" ht="20.100000000000001" customHeight="1" x14ac:dyDescent="0.2">
      <c r="A192" s="22">
        <v>43375</v>
      </c>
      <c r="B192" s="23" t="s">
        <v>49</v>
      </c>
      <c r="C192" s="23">
        <v>2.1772499999999999</v>
      </c>
      <c r="D192" s="23">
        <v>2.2136300000000002</v>
      </c>
      <c r="E192" s="23">
        <v>2.2739400000000001</v>
      </c>
      <c r="F192" s="23">
        <v>2.3198799999999999</v>
      </c>
      <c r="G192" s="23">
        <v>2.4075000000000002</v>
      </c>
      <c r="H192" s="23">
        <v>2.6070000000000002</v>
      </c>
      <c r="I192" s="23">
        <v>2.92475</v>
      </c>
    </row>
    <row r="193" spans="1:9" s="21" customFormat="1" ht="20.100000000000001" customHeight="1" x14ac:dyDescent="0.2">
      <c r="A193" s="22">
        <v>43376</v>
      </c>
      <c r="B193" s="23" t="s">
        <v>50</v>
      </c>
      <c r="C193" s="23">
        <v>2.1681300000000001</v>
      </c>
      <c r="D193" s="23">
        <v>2.2065000000000001</v>
      </c>
      <c r="E193" s="23">
        <v>2.2792500000000002</v>
      </c>
      <c r="F193" s="23">
        <v>2.3192499999999998</v>
      </c>
      <c r="G193" s="23">
        <v>2.4082499999999998</v>
      </c>
      <c r="H193" s="23">
        <v>2.6088800000000001</v>
      </c>
      <c r="I193" s="23">
        <v>2.9272499999999999</v>
      </c>
    </row>
    <row r="194" spans="1:9" s="21" customFormat="1" ht="20.100000000000001" customHeight="1" x14ac:dyDescent="0.2">
      <c r="A194" s="22">
        <v>43377</v>
      </c>
      <c r="B194" s="23" t="s">
        <v>51</v>
      </c>
      <c r="C194" s="23">
        <v>2.1652499999999999</v>
      </c>
      <c r="D194" s="23">
        <v>2.2040000000000002</v>
      </c>
      <c r="E194" s="23">
        <v>2.2806299999999999</v>
      </c>
      <c r="F194" s="23">
        <v>2.3238799999999999</v>
      </c>
      <c r="G194" s="23">
        <v>2.4096299999999999</v>
      </c>
      <c r="H194" s="23">
        <v>2.6234999999999999</v>
      </c>
      <c r="I194" s="23">
        <v>2.95688</v>
      </c>
    </row>
    <row r="195" spans="1:9" s="21" customFormat="1" ht="20.100000000000001" customHeight="1" x14ac:dyDescent="0.2">
      <c r="A195" s="22">
        <v>43378</v>
      </c>
      <c r="B195" s="23" t="s">
        <v>52</v>
      </c>
      <c r="C195" s="23">
        <v>2.1717499999999998</v>
      </c>
      <c r="D195" s="23">
        <v>2.2078799999999998</v>
      </c>
      <c r="E195" s="23">
        <v>2.2766899999999999</v>
      </c>
      <c r="F195" s="23">
        <v>2.3187500000000001</v>
      </c>
      <c r="G195" s="23">
        <v>2.4080599999999999</v>
      </c>
      <c r="H195" s="23">
        <v>2.6228799999999999</v>
      </c>
      <c r="I195" s="23">
        <v>2.95831</v>
      </c>
    </row>
    <row r="196" spans="1:9" s="21" customFormat="1" ht="20.100000000000001" customHeight="1" x14ac:dyDescent="0.2">
      <c r="A196" s="22">
        <v>43381</v>
      </c>
      <c r="B196" s="23" t="s">
        <v>53</v>
      </c>
      <c r="C196" s="23"/>
      <c r="D196" s="23">
        <v>2.2069999999999999</v>
      </c>
      <c r="E196" s="23">
        <v>2.2840600000000002</v>
      </c>
      <c r="F196" s="23">
        <v>2.3217500000000002</v>
      </c>
      <c r="G196" s="23">
        <v>2.41425</v>
      </c>
      <c r="H196" s="23">
        <v>2.6259999999999999</v>
      </c>
      <c r="I196" s="23">
        <v>2.9578799999999998</v>
      </c>
    </row>
    <row r="197" spans="1:9" s="21" customFormat="1" ht="20.100000000000001" customHeight="1" x14ac:dyDescent="0.2">
      <c r="A197" s="22">
        <v>43382</v>
      </c>
      <c r="B197" s="23" t="s">
        <v>49</v>
      </c>
      <c r="C197" s="23">
        <v>2.1655000000000002</v>
      </c>
      <c r="D197" s="23">
        <v>2.2149999999999999</v>
      </c>
      <c r="E197" s="23">
        <v>2.2871299999999999</v>
      </c>
      <c r="F197" s="23">
        <v>2.3140000000000001</v>
      </c>
      <c r="G197" s="23">
        <v>2.4204400000000001</v>
      </c>
      <c r="H197" s="23">
        <v>2.629</v>
      </c>
      <c r="I197" s="23">
        <v>2.9620000000000002</v>
      </c>
    </row>
    <row r="198" spans="1:9" s="21" customFormat="1" ht="20.100000000000001" customHeight="1" x14ac:dyDescent="0.2">
      <c r="A198" s="22">
        <v>43383</v>
      </c>
      <c r="B198" s="23" t="s">
        <v>50</v>
      </c>
      <c r="C198" s="23">
        <v>2.1720000000000002</v>
      </c>
      <c r="D198" s="23">
        <v>2.2025000000000001</v>
      </c>
      <c r="E198" s="23">
        <v>2.2831899999999998</v>
      </c>
      <c r="F198" s="23">
        <v>2.3224999999999998</v>
      </c>
      <c r="G198" s="23">
        <v>2.4251900000000002</v>
      </c>
      <c r="H198" s="23">
        <v>2.63625</v>
      </c>
      <c r="I198" s="23">
        <v>2.9691299999999998</v>
      </c>
    </row>
    <row r="199" spans="1:9" s="21" customFormat="1" ht="20.100000000000001" customHeight="1" x14ac:dyDescent="0.2">
      <c r="A199" s="22">
        <v>43384</v>
      </c>
      <c r="B199" s="23" t="s">
        <v>51</v>
      </c>
      <c r="C199" s="23">
        <v>2.17225</v>
      </c>
      <c r="D199" s="23">
        <v>2.2088800000000002</v>
      </c>
      <c r="E199" s="23">
        <v>2.2795000000000001</v>
      </c>
      <c r="F199" s="23">
        <v>2.3307500000000001</v>
      </c>
      <c r="G199" s="23">
        <v>2.4363100000000002</v>
      </c>
      <c r="H199" s="23">
        <v>2.6352500000000001</v>
      </c>
      <c r="I199" s="23">
        <v>2.95425</v>
      </c>
    </row>
    <row r="200" spans="1:9" s="21" customFormat="1" ht="20.100000000000001" customHeight="1" x14ac:dyDescent="0.2">
      <c r="A200" s="22">
        <v>43385</v>
      </c>
      <c r="B200" s="23" t="s">
        <v>52</v>
      </c>
      <c r="C200" s="23">
        <v>2.1693799999999999</v>
      </c>
      <c r="D200" s="23">
        <v>2.2035</v>
      </c>
      <c r="E200" s="23">
        <v>2.2797499999999999</v>
      </c>
      <c r="F200" s="23">
        <v>2.33413</v>
      </c>
      <c r="G200" s="23">
        <v>2.4364400000000002</v>
      </c>
      <c r="H200" s="23">
        <v>2.6521300000000001</v>
      </c>
      <c r="I200" s="23">
        <v>2.9633799999999999</v>
      </c>
    </row>
    <row r="201" spans="1:9" s="21" customFormat="1" ht="20.100000000000001" customHeight="1" x14ac:dyDescent="0.2">
      <c r="A201" s="22">
        <v>43388</v>
      </c>
      <c r="B201" s="23" t="s">
        <v>53</v>
      </c>
      <c r="C201" s="23">
        <v>2.1772499999999999</v>
      </c>
      <c r="D201" s="23">
        <v>2.2193100000000001</v>
      </c>
      <c r="E201" s="23">
        <v>2.2894999999999999</v>
      </c>
      <c r="F201" s="23">
        <v>2.3439999999999999</v>
      </c>
      <c r="G201" s="23">
        <v>2.4488099999999999</v>
      </c>
      <c r="H201" s="23">
        <v>2.6537500000000001</v>
      </c>
      <c r="I201" s="23">
        <v>2.9668100000000002</v>
      </c>
    </row>
    <row r="202" spans="1:9" s="21" customFormat="1" ht="20.100000000000001" customHeight="1" x14ac:dyDescent="0.2">
      <c r="A202" s="22">
        <v>43389</v>
      </c>
      <c r="B202" s="23" t="s">
        <v>49</v>
      </c>
      <c r="C202" s="23">
        <v>2.17638</v>
      </c>
      <c r="D202" s="23">
        <v>2.2153100000000001</v>
      </c>
      <c r="E202" s="23">
        <v>2.2871299999999999</v>
      </c>
      <c r="F202" s="23">
        <v>2.33575</v>
      </c>
      <c r="G202" s="23">
        <v>2.4445600000000001</v>
      </c>
      <c r="H202" s="23">
        <v>2.6575000000000002</v>
      </c>
      <c r="I202" s="23">
        <v>2.96713</v>
      </c>
    </row>
    <row r="203" spans="1:9" s="21" customFormat="1" ht="20.100000000000001" customHeight="1" x14ac:dyDescent="0.2">
      <c r="A203" s="22">
        <v>43390</v>
      </c>
      <c r="B203" s="23" t="s">
        <v>50</v>
      </c>
      <c r="C203" s="23">
        <v>2.1760000000000002</v>
      </c>
      <c r="D203" s="23">
        <v>2.20913</v>
      </c>
      <c r="E203" s="23">
        <v>2.282</v>
      </c>
      <c r="F203" s="23">
        <v>2.3334999999999999</v>
      </c>
      <c r="G203" s="23">
        <v>2.44963</v>
      </c>
      <c r="H203" s="23">
        <v>2.6613799999999999</v>
      </c>
      <c r="I203" s="23">
        <v>2.9657499999999999</v>
      </c>
    </row>
    <row r="204" spans="1:9" s="21" customFormat="1" ht="20.100000000000001" customHeight="1" x14ac:dyDescent="0.2">
      <c r="A204" s="22">
        <v>43391</v>
      </c>
      <c r="B204" s="23" t="s">
        <v>51</v>
      </c>
      <c r="C204" s="23">
        <v>2.1702499999999998</v>
      </c>
      <c r="D204" s="23">
        <v>2.21319</v>
      </c>
      <c r="E204" s="23">
        <v>2.27963</v>
      </c>
      <c r="F204" s="23">
        <v>2.3483800000000001</v>
      </c>
      <c r="G204" s="23">
        <v>2.4689999999999999</v>
      </c>
      <c r="H204" s="23">
        <v>2.6941299999999999</v>
      </c>
      <c r="I204" s="23">
        <v>3.0005600000000001</v>
      </c>
    </row>
    <row r="205" spans="1:9" s="21" customFormat="1" ht="20.100000000000001" customHeight="1" x14ac:dyDescent="0.2">
      <c r="A205" s="22">
        <v>43392</v>
      </c>
      <c r="B205" s="23" t="s">
        <v>52</v>
      </c>
      <c r="C205" s="23">
        <v>2.1711299999999998</v>
      </c>
      <c r="D205" s="23">
        <v>2.214</v>
      </c>
      <c r="E205" s="23">
        <v>2.2818800000000001</v>
      </c>
      <c r="F205" s="23">
        <v>2.3553799999999998</v>
      </c>
      <c r="G205" s="23">
        <v>2.4771899999999998</v>
      </c>
      <c r="H205" s="23">
        <v>2.7235</v>
      </c>
      <c r="I205" s="23">
        <v>3.0203799999999998</v>
      </c>
    </row>
    <row r="206" spans="1:9" s="21" customFormat="1" ht="20.100000000000001" customHeight="1" x14ac:dyDescent="0.2">
      <c r="A206" s="22">
        <v>43395</v>
      </c>
      <c r="B206" s="23" t="s">
        <v>53</v>
      </c>
      <c r="C206" s="23">
        <v>2.1706300000000001</v>
      </c>
      <c r="D206" s="23">
        <v>2.2120600000000001</v>
      </c>
      <c r="E206" s="23">
        <v>2.2865000000000002</v>
      </c>
      <c r="F206" s="23">
        <v>2.3611300000000002</v>
      </c>
      <c r="G206" s="23">
        <v>2.4873799999999999</v>
      </c>
      <c r="H206" s="23">
        <v>2.7293099999999999</v>
      </c>
      <c r="I206" s="23">
        <v>3.0310000000000001</v>
      </c>
    </row>
    <row r="207" spans="1:9" s="21" customFormat="1" ht="20.100000000000001" customHeight="1" x14ac:dyDescent="0.2">
      <c r="A207" s="22">
        <v>43396</v>
      </c>
      <c r="B207" s="23" t="s">
        <v>49</v>
      </c>
      <c r="C207" s="23">
        <v>2.17388</v>
      </c>
      <c r="D207" s="23">
        <v>2.2168800000000002</v>
      </c>
      <c r="E207" s="23">
        <v>2.28138</v>
      </c>
      <c r="F207" s="23">
        <v>2.3561299999999998</v>
      </c>
      <c r="G207" s="23">
        <v>2.4898799999999999</v>
      </c>
      <c r="H207" s="23">
        <v>2.74756</v>
      </c>
      <c r="I207" s="23">
        <v>3.0343800000000001</v>
      </c>
    </row>
    <row r="208" spans="1:9" s="21" customFormat="1" ht="20.100000000000001" customHeight="1" x14ac:dyDescent="0.2">
      <c r="A208" s="22">
        <v>43397</v>
      </c>
      <c r="B208" s="23" t="s">
        <v>50</v>
      </c>
      <c r="C208" s="23">
        <v>2.1751299999999998</v>
      </c>
      <c r="D208" s="23">
        <v>2.2103100000000002</v>
      </c>
      <c r="E208" s="23">
        <v>2.29406</v>
      </c>
      <c r="F208" s="23">
        <v>2.36463</v>
      </c>
      <c r="G208" s="23">
        <v>2.508</v>
      </c>
      <c r="H208" s="23">
        <v>2.7597499999999999</v>
      </c>
      <c r="I208" s="23">
        <v>3.03938</v>
      </c>
    </row>
    <row r="209" spans="1:9" s="21" customFormat="1" ht="20.100000000000001" customHeight="1" x14ac:dyDescent="0.2">
      <c r="A209" s="22">
        <v>43398</v>
      </c>
      <c r="B209" s="23" t="s">
        <v>51</v>
      </c>
      <c r="C209" s="23">
        <v>2.1742499999999998</v>
      </c>
      <c r="D209" s="23">
        <v>2.2195</v>
      </c>
      <c r="E209" s="23">
        <v>2.29494</v>
      </c>
      <c r="F209" s="23">
        <v>2.37975</v>
      </c>
      <c r="G209" s="23">
        <v>2.5092500000000002</v>
      </c>
      <c r="H209" s="23">
        <v>2.77413</v>
      </c>
      <c r="I209" s="23">
        <v>3.0517500000000002</v>
      </c>
    </row>
    <row r="210" spans="1:9" s="21" customFormat="1" ht="20.100000000000001" customHeight="1" x14ac:dyDescent="0.2">
      <c r="A210" s="22">
        <v>43399</v>
      </c>
      <c r="B210" s="23" t="s">
        <v>52</v>
      </c>
      <c r="C210" s="23">
        <v>2.1767500000000002</v>
      </c>
      <c r="D210" s="23">
        <v>2.2183799999999998</v>
      </c>
      <c r="E210" s="23">
        <v>2.2966899999999999</v>
      </c>
      <c r="F210" s="23">
        <v>2.38531</v>
      </c>
      <c r="G210" s="23">
        <v>2.5203799999999998</v>
      </c>
      <c r="H210" s="23">
        <v>2.7767499999999998</v>
      </c>
      <c r="I210" s="23">
        <v>3.0567500000000001</v>
      </c>
    </row>
    <row r="211" spans="1:9" s="21" customFormat="1" ht="20.100000000000001" customHeight="1" x14ac:dyDescent="0.2">
      <c r="A211" s="22">
        <v>43402</v>
      </c>
      <c r="B211" s="23" t="s">
        <v>53</v>
      </c>
      <c r="C211" s="23">
        <v>2.1788799999999999</v>
      </c>
      <c r="D211" s="23">
        <v>2.2262499999999998</v>
      </c>
      <c r="E211" s="23">
        <v>2.302</v>
      </c>
      <c r="F211" s="23">
        <v>2.39106</v>
      </c>
      <c r="G211" s="23">
        <v>2.5266299999999999</v>
      </c>
      <c r="H211" s="23">
        <v>2.7817500000000002</v>
      </c>
      <c r="I211" s="23">
        <v>3.0637500000000002</v>
      </c>
    </row>
    <row r="212" spans="1:9" s="21" customFormat="1" ht="20.100000000000001" customHeight="1" x14ac:dyDescent="0.2">
      <c r="A212" s="22">
        <v>43403</v>
      </c>
      <c r="B212" s="23" t="s">
        <v>49</v>
      </c>
      <c r="C212" s="23">
        <v>2.1800000000000002</v>
      </c>
      <c r="D212" s="23">
        <v>2.22925</v>
      </c>
      <c r="E212" s="23">
        <v>2.2993800000000002</v>
      </c>
      <c r="F212" s="23">
        <v>2.3933800000000001</v>
      </c>
      <c r="G212" s="23">
        <v>2.5409999999999999</v>
      </c>
      <c r="H212" s="23">
        <v>2.7962500000000001</v>
      </c>
      <c r="I212" s="23">
        <v>3.0708799999999998</v>
      </c>
    </row>
    <row r="213" spans="1:9" s="21" customFormat="1" ht="20.100000000000001" customHeight="1" x14ac:dyDescent="0.2">
      <c r="A213" s="22">
        <v>43404</v>
      </c>
      <c r="B213" s="23" t="s">
        <v>50</v>
      </c>
      <c r="C213" s="23">
        <v>2.173</v>
      </c>
      <c r="D213" s="23">
        <v>2.21238</v>
      </c>
      <c r="E213" s="23">
        <v>2.30688</v>
      </c>
      <c r="F213" s="23">
        <v>2.3963800000000002</v>
      </c>
      <c r="G213" s="23">
        <v>2.5585</v>
      </c>
      <c r="H213" s="23">
        <v>2.8001299999999998</v>
      </c>
      <c r="I213" s="23">
        <v>3.0837500000000002</v>
      </c>
    </row>
    <row r="214" spans="1:9" s="21" customFormat="1" ht="20.100000000000001" customHeight="1" x14ac:dyDescent="0.2">
      <c r="A214" s="22">
        <v>43405</v>
      </c>
      <c r="B214" s="23" t="s">
        <v>51</v>
      </c>
      <c r="C214" s="23">
        <v>2.1753800000000001</v>
      </c>
      <c r="D214" s="23">
        <v>2.2178800000000001</v>
      </c>
      <c r="E214" s="23">
        <v>2.3135599999999998</v>
      </c>
      <c r="F214" s="23">
        <v>2.4180000000000001</v>
      </c>
      <c r="G214" s="23">
        <v>2.5815000000000001</v>
      </c>
      <c r="H214" s="23">
        <v>2.8165</v>
      </c>
      <c r="I214" s="23">
        <v>3.09613</v>
      </c>
    </row>
    <row r="215" spans="1:9" s="21" customFormat="1" ht="20.100000000000001" customHeight="1" x14ac:dyDescent="0.2">
      <c r="A215" s="22">
        <v>43406</v>
      </c>
      <c r="B215" s="23" t="s">
        <v>52</v>
      </c>
      <c r="C215" s="23">
        <v>2.1746300000000001</v>
      </c>
      <c r="D215" s="23">
        <v>2.214</v>
      </c>
      <c r="E215" s="23">
        <v>2.3178800000000002</v>
      </c>
      <c r="F215" s="23">
        <v>2.42625</v>
      </c>
      <c r="G215" s="23">
        <v>2.5923799999999999</v>
      </c>
      <c r="H215" s="23">
        <v>2.8288799999999998</v>
      </c>
      <c r="I215" s="23">
        <v>3.1048800000000001</v>
      </c>
    </row>
    <row r="216" spans="1:9" s="21" customFormat="1" ht="20.100000000000001" customHeight="1" x14ac:dyDescent="0.2">
      <c r="A216" s="22">
        <v>43409</v>
      </c>
      <c r="B216" s="23" t="s">
        <v>53</v>
      </c>
      <c r="C216" s="23">
        <v>2.1752500000000001</v>
      </c>
      <c r="D216" s="23">
        <v>2.2142499999999998</v>
      </c>
      <c r="E216" s="23">
        <v>2.3159999999999998</v>
      </c>
      <c r="F216" s="23">
        <v>2.4295</v>
      </c>
      <c r="G216" s="23">
        <v>2.5892499999999998</v>
      </c>
      <c r="H216" s="23">
        <v>2.83575</v>
      </c>
      <c r="I216" s="23">
        <v>3.1168800000000001</v>
      </c>
    </row>
    <row r="217" spans="1:9" s="21" customFormat="1" ht="20.100000000000001" customHeight="1" x14ac:dyDescent="0.2">
      <c r="A217" s="22">
        <v>43410</v>
      </c>
      <c r="B217" s="23" t="s">
        <v>49</v>
      </c>
      <c r="C217" s="23">
        <v>2.1766299999999998</v>
      </c>
      <c r="D217" s="23">
        <v>2.2113800000000001</v>
      </c>
      <c r="E217" s="23">
        <v>2.3168799999999998</v>
      </c>
      <c r="F217" s="23">
        <v>2.4286300000000001</v>
      </c>
      <c r="G217" s="23">
        <v>2.5912500000000001</v>
      </c>
      <c r="H217" s="23">
        <v>2.8414999999999999</v>
      </c>
      <c r="I217" s="23">
        <v>3.1163799999999999</v>
      </c>
    </row>
    <row r="218" spans="1:9" s="21" customFormat="1" ht="20.100000000000001" customHeight="1" x14ac:dyDescent="0.2">
      <c r="A218" s="22">
        <v>43411</v>
      </c>
      <c r="B218" s="23" t="s">
        <v>50</v>
      </c>
      <c r="C218" s="23">
        <v>2.1772499999999999</v>
      </c>
      <c r="D218" s="23">
        <v>2.2158799999999998</v>
      </c>
      <c r="E218" s="23">
        <v>2.3153100000000002</v>
      </c>
      <c r="F218" s="23">
        <v>2.4455</v>
      </c>
      <c r="G218" s="23">
        <v>2.6011299999999999</v>
      </c>
      <c r="H218" s="23">
        <v>2.8435000000000001</v>
      </c>
      <c r="I218" s="23">
        <v>3.12513</v>
      </c>
    </row>
    <row r="219" spans="1:9" s="21" customFormat="1" ht="20.100000000000001" customHeight="1" x14ac:dyDescent="0.2">
      <c r="A219" s="22">
        <v>43412</v>
      </c>
      <c r="B219" s="23" t="s">
        <v>51</v>
      </c>
      <c r="C219" s="23">
        <v>2.1798799999999998</v>
      </c>
      <c r="D219" s="23">
        <v>2.2161900000000001</v>
      </c>
      <c r="E219" s="23">
        <v>2.3184399999999998</v>
      </c>
      <c r="F219" s="23">
        <v>2.4586299999999999</v>
      </c>
      <c r="G219" s="23">
        <v>2.61463</v>
      </c>
      <c r="H219" s="23">
        <v>2.8576299999999999</v>
      </c>
      <c r="I219" s="23">
        <v>3.1407500000000002</v>
      </c>
    </row>
    <row r="220" spans="1:9" s="21" customFormat="1" ht="20.100000000000001" customHeight="1" x14ac:dyDescent="0.2">
      <c r="A220" s="22">
        <v>43413</v>
      </c>
      <c r="B220" s="23" t="s">
        <v>52</v>
      </c>
      <c r="C220" s="23">
        <v>2.1749999999999998</v>
      </c>
      <c r="D220" s="23">
        <v>2.2191299999999998</v>
      </c>
      <c r="E220" s="23">
        <v>2.3143799999999999</v>
      </c>
      <c r="F220" s="23">
        <v>2.45513</v>
      </c>
      <c r="G220" s="23">
        <v>2.6181299999999998</v>
      </c>
      <c r="H220" s="23">
        <v>2.8580000000000001</v>
      </c>
      <c r="I220" s="23">
        <v>3.1441300000000001</v>
      </c>
    </row>
    <row r="221" spans="1:9" s="21" customFormat="1" ht="20.100000000000001" customHeight="1" x14ac:dyDescent="0.2">
      <c r="A221" s="22">
        <v>43416</v>
      </c>
      <c r="B221" s="23" t="s">
        <v>53</v>
      </c>
      <c r="C221" s="23"/>
      <c r="D221" s="23">
        <v>2.2155</v>
      </c>
      <c r="E221" s="23">
        <v>2.3066300000000002</v>
      </c>
      <c r="F221" s="23">
        <v>2.4452500000000001</v>
      </c>
      <c r="G221" s="23">
        <v>2.6141299999999998</v>
      </c>
      <c r="H221" s="23">
        <v>2.8553799999999998</v>
      </c>
      <c r="I221" s="23">
        <v>3.1347499999999999</v>
      </c>
    </row>
    <row r="222" spans="1:9" s="21" customFormat="1" ht="20.100000000000001" customHeight="1" x14ac:dyDescent="0.2">
      <c r="A222" s="22">
        <v>43417</v>
      </c>
      <c r="B222" s="23" t="s">
        <v>49</v>
      </c>
      <c r="C222" s="23">
        <v>2.17788</v>
      </c>
      <c r="D222" s="23">
        <v>2.2161300000000002</v>
      </c>
      <c r="E222" s="23">
        <v>2.3065000000000002</v>
      </c>
      <c r="F222" s="23">
        <v>2.4441299999999999</v>
      </c>
      <c r="G222" s="23">
        <v>2.6161300000000001</v>
      </c>
      <c r="H222" s="23">
        <v>2.855</v>
      </c>
      <c r="I222" s="23">
        <v>3.1320600000000001</v>
      </c>
    </row>
    <row r="223" spans="1:9" s="21" customFormat="1" ht="20.100000000000001" customHeight="1" x14ac:dyDescent="0.2">
      <c r="A223" s="22">
        <v>43418</v>
      </c>
      <c r="B223" s="23" t="s">
        <v>50</v>
      </c>
      <c r="C223" s="23">
        <v>2.1757499999999999</v>
      </c>
      <c r="D223" s="23">
        <v>2.2096300000000002</v>
      </c>
      <c r="E223" s="23">
        <v>2.3103799999999999</v>
      </c>
      <c r="F223" s="23">
        <v>2.4453100000000001</v>
      </c>
      <c r="G223" s="23">
        <v>2.629</v>
      </c>
      <c r="H223" s="23">
        <v>2.8634400000000002</v>
      </c>
      <c r="I223" s="23">
        <v>3.1296300000000001</v>
      </c>
    </row>
    <row r="224" spans="1:9" s="21" customFormat="1" ht="20.100000000000001" customHeight="1" x14ac:dyDescent="0.2">
      <c r="A224" s="22">
        <v>43419</v>
      </c>
      <c r="B224" s="23" t="s">
        <v>51</v>
      </c>
      <c r="C224" s="23">
        <v>2.1793800000000001</v>
      </c>
      <c r="D224" s="23">
        <v>2.2112500000000002</v>
      </c>
      <c r="E224" s="23">
        <v>2.3025000000000002</v>
      </c>
      <c r="F224" s="23">
        <v>2.4491299999999998</v>
      </c>
      <c r="G224" s="23">
        <v>2.64</v>
      </c>
      <c r="H224" s="23">
        <v>2.8601899999999998</v>
      </c>
      <c r="I224" s="23">
        <v>3.1183800000000002</v>
      </c>
    </row>
    <row r="225" spans="1:9" s="21" customFormat="1" ht="20.100000000000001" customHeight="1" x14ac:dyDescent="0.2">
      <c r="A225" s="22">
        <v>43420</v>
      </c>
      <c r="B225" s="23" t="s">
        <v>52</v>
      </c>
      <c r="C225" s="23">
        <v>2.1753800000000001</v>
      </c>
      <c r="D225" s="23">
        <v>2.21225</v>
      </c>
      <c r="E225" s="23">
        <v>2.3008799999999998</v>
      </c>
      <c r="F225" s="23">
        <v>2.4521299999999999</v>
      </c>
      <c r="G225" s="23">
        <v>2.6444999999999999</v>
      </c>
      <c r="H225" s="23">
        <v>2.8626299999999998</v>
      </c>
      <c r="I225" s="23">
        <v>3.1236299999999999</v>
      </c>
    </row>
    <row r="226" spans="1:9" s="21" customFormat="1" ht="20.100000000000001" customHeight="1" x14ac:dyDescent="0.2">
      <c r="A226" s="22">
        <v>43423</v>
      </c>
      <c r="B226" s="23" t="s">
        <v>53</v>
      </c>
      <c r="C226" s="23">
        <v>2.1807500000000002</v>
      </c>
      <c r="D226" s="23">
        <v>2.2172499999999999</v>
      </c>
      <c r="E226" s="23">
        <v>2.3002500000000001</v>
      </c>
      <c r="F226" s="23">
        <v>2.4576899999999999</v>
      </c>
      <c r="G226" s="23">
        <v>2.64581</v>
      </c>
      <c r="H226" s="23">
        <v>2.8657499999999998</v>
      </c>
      <c r="I226" s="23">
        <v>3.10738</v>
      </c>
    </row>
    <row r="227" spans="1:9" s="21" customFormat="1" ht="20.100000000000001" customHeight="1" x14ac:dyDescent="0.2">
      <c r="A227" s="22">
        <v>43424</v>
      </c>
      <c r="B227" s="23" t="s">
        <v>49</v>
      </c>
      <c r="C227" s="23">
        <v>2.1728800000000001</v>
      </c>
      <c r="D227" s="23">
        <v>2.21638</v>
      </c>
      <c r="E227" s="23">
        <v>2.3054999999999999</v>
      </c>
      <c r="F227" s="23">
        <v>2.4584999999999999</v>
      </c>
      <c r="G227" s="23">
        <v>2.65313</v>
      </c>
      <c r="H227" s="23">
        <v>2.8632499999999999</v>
      </c>
      <c r="I227" s="23">
        <v>3.0971299999999999</v>
      </c>
    </row>
    <row r="228" spans="1:9" s="21" customFormat="1" ht="20.100000000000001" customHeight="1" x14ac:dyDescent="0.2">
      <c r="A228" s="22">
        <v>43425</v>
      </c>
      <c r="B228" s="23" t="s">
        <v>50</v>
      </c>
      <c r="C228" s="23">
        <v>2.1804999999999999</v>
      </c>
      <c r="D228" s="23">
        <v>2.2210000000000001</v>
      </c>
      <c r="E228" s="23">
        <v>2.3151299999999999</v>
      </c>
      <c r="F228" s="23">
        <v>2.4731299999999998</v>
      </c>
      <c r="G228" s="23">
        <v>2.6769400000000001</v>
      </c>
      <c r="H228" s="23">
        <v>2.8858799999999998</v>
      </c>
      <c r="I228" s="23">
        <v>3.1103800000000001</v>
      </c>
    </row>
    <row r="229" spans="1:9" s="21" customFormat="1" ht="20.100000000000001" customHeight="1" x14ac:dyDescent="0.2">
      <c r="A229" s="22">
        <v>43426</v>
      </c>
      <c r="B229" s="23" t="s">
        <v>51</v>
      </c>
      <c r="C229" s="23"/>
      <c r="D229" s="23">
        <v>2.2221299999999999</v>
      </c>
      <c r="E229" s="23">
        <v>2.31488</v>
      </c>
      <c r="F229" s="23">
        <v>2.4801299999999999</v>
      </c>
      <c r="G229" s="23">
        <v>2.6892499999999999</v>
      </c>
      <c r="H229" s="23">
        <v>2.8872499999999999</v>
      </c>
      <c r="I229" s="23">
        <v>3.1095000000000002</v>
      </c>
    </row>
    <row r="230" spans="1:9" s="21" customFormat="1" ht="20.100000000000001" customHeight="1" x14ac:dyDescent="0.2">
      <c r="A230" s="22">
        <v>43427</v>
      </c>
      <c r="B230" s="23" t="s">
        <v>52</v>
      </c>
      <c r="C230" s="23">
        <v>2.177</v>
      </c>
      <c r="D230" s="23">
        <v>2.2218800000000001</v>
      </c>
      <c r="E230" s="23">
        <v>2.3218800000000002</v>
      </c>
      <c r="F230" s="23">
        <v>2.4953799999999999</v>
      </c>
      <c r="G230" s="23">
        <v>2.6911900000000002</v>
      </c>
      <c r="H230" s="23">
        <v>2.88625</v>
      </c>
      <c r="I230" s="23">
        <v>3.1207500000000001</v>
      </c>
    </row>
    <row r="231" spans="1:9" s="21" customFormat="1" ht="20.100000000000001" customHeight="1" x14ac:dyDescent="0.2">
      <c r="A231" s="22">
        <v>43430</v>
      </c>
      <c r="B231" s="23" t="s">
        <v>53</v>
      </c>
      <c r="C231" s="23">
        <v>2.1829999999999998</v>
      </c>
      <c r="D231" s="23">
        <v>2.2189999999999999</v>
      </c>
      <c r="E231" s="23">
        <v>2.3367499999999999</v>
      </c>
      <c r="F231" s="23">
        <v>2.49525</v>
      </c>
      <c r="G231" s="23">
        <v>2.7068099999999999</v>
      </c>
      <c r="H231" s="23">
        <v>2.8927499999999999</v>
      </c>
      <c r="I231" s="23">
        <v>3.1283799999999999</v>
      </c>
    </row>
    <row r="232" spans="1:9" s="21" customFormat="1" ht="20.100000000000001" customHeight="1" x14ac:dyDescent="0.2">
      <c r="A232" s="22">
        <v>43431</v>
      </c>
      <c r="B232" s="23" t="s">
        <v>49</v>
      </c>
      <c r="C232" s="23">
        <v>2.1785000000000001</v>
      </c>
      <c r="D232" s="23">
        <v>2.2349399999999999</v>
      </c>
      <c r="E232" s="23">
        <v>2.34931</v>
      </c>
      <c r="F232" s="23">
        <v>2.4990000000000001</v>
      </c>
      <c r="G232" s="23">
        <v>2.706</v>
      </c>
      <c r="H232" s="23">
        <v>2.8844400000000001</v>
      </c>
      <c r="I232" s="23">
        <v>3.1307499999999999</v>
      </c>
    </row>
    <row r="233" spans="1:9" s="21" customFormat="1" ht="20.100000000000001" customHeight="1" x14ac:dyDescent="0.2">
      <c r="A233" s="22">
        <v>43432</v>
      </c>
      <c r="B233" s="23" t="s">
        <v>50</v>
      </c>
      <c r="C233" s="23">
        <v>2.1825000000000001</v>
      </c>
      <c r="D233" s="23">
        <v>2.2244999999999999</v>
      </c>
      <c r="E233" s="23">
        <v>2.34463</v>
      </c>
      <c r="F233" s="23">
        <v>2.4950000000000001</v>
      </c>
      <c r="G233" s="23">
        <v>2.7066300000000001</v>
      </c>
      <c r="H233" s="23">
        <v>2.8866299999999998</v>
      </c>
      <c r="I233" s="23">
        <v>3.1341299999999999</v>
      </c>
    </row>
    <row r="234" spans="1:9" s="21" customFormat="1" ht="20.100000000000001" customHeight="1" x14ac:dyDescent="0.2">
      <c r="A234" s="22">
        <v>43433</v>
      </c>
      <c r="B234" s="23" t="s">
        <v>51</v>
      </c>
      <c r="C234" s="23">
        <v>2.18275</v>
      </c>
      <c r="D234" s="23">
        <v>2.2288100000000002</v>
      </c>
      <c r="E234" s="23">
        <v>2.3492500000000001</v>
      </c>
      <c r="F234" s="23">
        <v>2.51125</v>
      </c>
      <c r="G234" s="23">
        <v>2.73813</v>
      </c>
      <c r="H234" s="23">
        <v>2.8851900000000001</v>
      </c>
      <c r="I234" s="23">
        <v>3.11869</v>
      </c>
    </row>
    <row r="235" spans="1:9" s="21" customFormat="1" ht="20.100000000000001" customHeight="1" x14ac:dyDescent="0.2">
      <c r="A235" s="22">
        <v>43434</v>
      </c>
      <c r="B235" s="23" t="s">
        <v>52</v>
      </c>
      <c r="C235" s="23">
        <v>2.1775000000000002</v>
      </c>
      <c r="D235" s="23">
        <v>2.2213099999999999</v>
      </c>
      <c r="E235" s="23">
        <v>2.34694</v>
      </c>
      <c r="F235" s="23">
        <v>2.5100600000000002</v>
      </c>
      <c r="G235" s="23">
        <v>2.7361300000000002</v>
      </c>
      <c r="H235" s="23">
        <v>2.8946299999999998</v>
      </c>
      <c r="I235" s="23">
        <v>3.12025</v>
      </c>
    </row>
    <row r="236" spans="1:9" s="21" customFormat="1" ht="20.100000000000001" customHeight="1" x14ac:dyDescent="0.2">
      <c r="A236" s="22">
        <v>43437</v>
      </c>
      <c r="B236" s="23" t="s">
        <v>53</v>
      </c>
      <c r="C236" s="23">
        <v>2.18188</v>
      </c>
      <c r="D236" s="23">
        <v>2.2161900000000001</v>
      </c>
      <c r="E236" s="23">
        <v>2.3788800000000001</v>
      </c>
      <c r="F236" s="23">
        <v>2.5365600000000001</v>
      </c>
      <c r="G236" s="23">
        <v>2.7512500000000002</v>
      </c>
      <c r="H236" s="23">
        <v>2.8952499999999999</v>
      </c>
      <c r="I236" s="23">
        <v>3.1381899999999998</v>
      </c>
    </row>
    <row r="237" spans="1:9" s="21" customFormat="1" ht="20.100000000000001" customHeight="1" x14ac:dyDescent="0.2">
      <c r="A237" s="22">
        <v>43438</v>
      </c>
      <c r="B237" s="23" t="s">
        <v>49</v>
      </c>
      <c r="C237" s="23">
        <v>2.1761300000000001</v>
      </c>
      <c r="D237" s="23">
        <v>2.226</v>
      </c>
      <c r="E237" s="23">
        <v>2.3795000000000002</v>
      </c>
      <c r="F237" s="23">
        <v>2.5362499999999999</v>
      </c>
      <c r="G237" s="23">
        <v>2.73888</v>
      </c>
      <c r="H237" s="23">
        <v>2.8963800000000002</v>
      </c>
      <c r="I237" s="23">
        <v>3.1329400000000001</v>
      </c>
    </row>
    <row r="238" spans="1:9" s="21" customFormat="1" ht="20.100000000000001" customHeight="1" x14ac:dyDescent="0.2">
      <c r="A238" s="22">
        <v>43439</v>
      </c>
      <c r="B238" s="23" t="s">
        <v>50</v>
      </c>
      <c r="C238" s="23">
        <v>2.1718799999999998</v>
      </c>
      <c r="D238" s="23">
        <v>2.2260599999999999</v>
      </c>
      <c r="E238" s="23">
        <v>2.3832499999999999</v>
      </c>
      <c r="F238" s="23">
        <v>2.5427499999999998</v>
      </c>
      <c r="G238" s="23">
        <v>2.7657500000000002</v>
      </c>
      <c r="H238" s="23">
        <v>2.89113</v>
      </c>
      <c r="I238" s="23">
        <v>3.12575</v>
      </c>
    </row>
    <row r="239" spans="1:9" s="21" customFormat="1" ht="20.100000000000001" customHeight="1" x14ac:dyDescent="0.2">
      <c r="A239" s="22">
        <v>43440</v>
      </c>
      <c r="B239" s="23" t="s">
        <v>51</v>
      </c>
      <c r="C239" s="23">
        <v>2.1823800000000002</v>
      </c>
      <c r="D239" s="23">
        <v>2.2334399999999999</v>
      </c>
      <c r="E239" s="23">
        <v>2.3869400000000001</v>
      </c>
      <c r="F239" s="23">
        <v>2.5404399999999998</v>
      </c>
      <c r="G239" s="23">
        <v>2.7671299999999999</v>
      </c>
      <c r="H239" s="23">
        <v>2.8890600000000002</v>
      </c>
      <c r="I239" s="23">
        <v>3.1119400000000002</v>
      </c>
    </row>
    <row r="240" spans="1:9" s="21" customFormat="1" ht="20.100000000000001" customHeight="1" x14ac:dyDescent="0.2">
      <c r="A240" s="22">
        <v>43441</v>
      </c>
      <c r="B240" s="23" t="s">
        <v>52</v>
      </c>
      <c r="C240" s="23">
        <v>2.1808800000000002</v>
      </c>
      <c r="D240" s="23">
        <v>2.2142499999999998</v>
      </c>
      <c r="E240" s="23">
        <v>2.4001899999999998</v>
      </c>
      <c r="F240" s="23">
        <v>2.5452499999999998</v>
      </c>
      <c r="G240" s="23">
        <v>2.7710599999999999</v>
      </c>
      <c r="H240" s="23">
        <v>2.8858100000000002</v>
      </c>
      <c r="I240" s="23">
        <v>3.1005600000000002</v>
      </c>
    </row>
    <row r="241" spans="1:9" s="21" customFormat="1" ht="20.100000000000001" customHeight="1" x14ac:dyDescent="0.2">
      <c r="A241" s="22">
        <v>43444</v>
      </c>
      <c r="B241" s="23" t="s">
        <v>53</v>
      </c>
      <c r="C241" s="23">
        <v>2.1819999999999999</v>
      </c>
      <c r="D241" s="23">
        <v>2.2102499999999998</v>
      </c>
      <c r="E241" s="23">
        <v>2.4205000000000001</v>
      </c>
      <c r="F241" s="23">
        <v>2.5676299999999999</v>
      </c>
      <c r="G241" s="23">
        <v>2.7759399999999999</v>
      </c>
      <c r="H241" s="23">
        <v>2.8778800000000002</v>
      </c>
      <c r="I241" s="23">
        <v>3.0840000000000001</v>
      </c>
    </row>
    <row r="242" spans="1:9" s="21" customFormat="1" ht="20.100000000000001" customHeight="1" x14ac:dyDescent="0.2">
      <c r="A242" s="22">
        <v>43445</v>
      </c>
      <c r="B242" s="23" t="s">
        <v>49</v>
      </c>
      <c r="C242" s="23">
        <v>2.1821299999999999</v>
      </c>
      <c r="D242" s="23">
        <v>2.2065000000000001</v>
      </c>
      <c r="E242" s="23">
        <v>2.4323800000000002</v>
      </c>
      <c r="F242" s="23">
        <v>2.5798100000000002</v>
      </c>
      <c r="G242" s="23">
        <v>2.7789999999999999</v>
      </c>
      <c r="H242" s="23">
        <v>2.88063</v>
      </c>
      <c r="I242" s="23">
        <v>3.0895000000000001</v>
      </c>
    </row>
    <row r="243" spans="1:9" s="21" customFormat="1" ht="20.100000000000001" customHeight="1" x14ac:dyDescent="0.2">
      <c r="A243" s="22">
        <v>43446</v>
      </c>
      <c r="B243" s="23" t="s">
        <v>50</v>
      </c>
      <c r="C243" s="23">
        <v>2.1847500000000002</v>
      </c>
      <c r="D243" s="23">
        <v>2.2198799999999999</v>
      </c>
      <c r="E243" s="23">
        <v>2.4401299999999999</v>
      </c>
      <c r="F243" s="23">
        <v>2.58494</v>
      </c>
      <c r="G243" s="23">
        <v>2.7774999999999999</v>
      </c>
      <c r="H243" s="23">
        <v>2.8922500000000002</v>
      </c>
      <c r="I243" s="23">
        <v>3.1012499999999998</v>
      </c>
    </row>
    <row r="244" spans="1:9" s="21" customFormat="1" ht="20.100000000000001" customHeight="1" x14ac:dyDescent="0.2">
      <c r="A244" s="22">
        <v>43447</v>
      </c>
      <c r="B244" s="23" t="s">
        <v>51</v>
      </c>
      <c r="C244" s="23">
        <v>2.18438</v>
      </c>
      <c r="D244" s="23">
        <v>2.2763800000000001</v>
      </c>
      <c r="E244" s="23">
        <v>2.45513</v>
      </c>
      <c r="F244" s="23">
        <v>2.5886300000000002</v>
      </c>
      <c r="G244" s="23">
        <v>2.7881900000000002</v>
      </c>
      <c r="H244" s="23">
        <v>2.9008799999999999</v>
      </c>
      <c r="I244" s="23">
        <v>3.1123799999999999</v>
      </c>
    </row>
    <row r="245" spans="1:9" s="21" customFormat="1" ht="20.100000000000001" customHeight="1" x14ac:dyDescent="0.2">
      <c r="A245" s="22">
        <v>43448</v>
      </c>
      <c r="B245" s="23" t="s">
        <v>52</v>
      </c>
      <c r="C245" s="23">
        <v>2.1847500000000002</v>
      </c>
      <c r="D245" s="23">
        <v>2.2807499999999998</v>
      </c>
      <c r="E245" s="23">
        <v>2.4550000000000001</v>
      </c>
      <c r="F245" s="23">
        <v>2.5880000000000001</v>
      </c>
      <c r="G245" s="23">
        <v>2.8006899999999999</v>
      </c>
      <c r="H245" s="23">
        <v>2.90056</v>
      </c>
      <c r="I245" s="23">
        <v>3.0976900000000001</v>
      </c>
    </row>
    <row r="246" spans="1:9" s="21" customFormat="1" ht="20.100000000000001" customHeight="1" x14ac:dyDescent="0.2">
      <c r="A246" s="22">
        <v>43451</v>
      </c>
      <c r="B246" s="23" t="s">
        <v>53</v>
      </c>
      <c r="C246" s="23">
        <v>2.1812499999999999</v>
      </c>
      <c r="D246" s="23">
        <v>2.2989999999999999</v>
      </c>
      <c r="E246" s="23">
        <v>2.46963</v>
      </c>
      <c r="F246" s="23">
        <v>2.59063</v>
      </c>
      <c r="G246" s="23">
        <v>2.8036300000000001</v>
      </c>
      <c r="H246" s="23">
        <v>2.90463</v>
      </c>
      <c r="I246" s="23">
        <v>3.1038800000000002</v>
      </c>
    </row>
    <row r="247" spans="1:9" s="21" customFormat="1" ht="20.100000000000001" customHeight="1" x14ac:dyDescent="0.2">
      <c r="A247" s="22">
        <v>43452</v>
      </c>
      <c r="B247" s="23" t="s">
        <v>49</v>
      </c>
      <c r="C247" s="23">
        <v>2.18025</v>
      </c>
      <c r="D247" s="23">
        <v>2.3690000000000002</v>
      </c>
      <c r="E247" s="23">
        <v>2.4701300000000002</v>
      </c>
      <c r="F247" s="23">
        <v>2.58725</v>
      </c>
      <c r="G247" s="23">
        <v>2.7919999999999998</v>
      </c>
      <c r="H247" s="23">
        <v>2.8763800000000002</v>
      </c>
      <c r="I247" s="23">
        <v>3.0613100000000002</v>
      </c>
    </row>
    <row r="248" spans="1:9" s="21" customFormat="1" ht="20.100000000000001" customHeight="1" x14ac:dyDescent="0.2">
      <c r="A248" s="22">
        <v>43453</v>
      </c>
      <c r="B248" s="23" t="s">
        <v>50</v>
      </c>
      <c r="C248" s="23">
        <v>2.1817500000000001</v>
      </c>
      <c r="D248" s="23">
        <v>2.3681299999999998</v>
      </c>
      <c r="E248" s="23">
        <v>2.4793799999999999</v>
      </c>
      <c r="F248" s="23">
        <v>2.5895600000000001</v>
      </c>
      <c r="G248" s="23">
        <v>2.7896299999999998</v>
      </c>
      <c r="H248" s="23">
        <v>2.8708800000000001</v>
      </c>
      <c r="I248" s="23">
        <v>3.0527500000000001</v>
      </c>
    </row>
    <row r="249" spans="1:9" s="21" customFormat="1" ht="20.100000000000001" customHeight="1" x14ac:dyDescent="0.2">
      <c r="A249" s="22">
        <v>43454</v>
      </c>
      <c r="B249" s="23" t="s">
        <v>51</v>
      </c>
      <c r="C249" s="23">
        <v>2.38788</v>
      </c>
      <c r="D249" s="23">
        <v>2.4083800000000002</v>
      </c>
      <c r="E249" s="23">
        <v>2.5037500000000001</v>
      </c>
      <c r="F249" s="23">
        <v>2.6173799999999998</v>
      </c>
      <c r="G249" s="23">
        <v>2.82375</v>
      </c>
      <c r="H249" s="23">
        <v>2.9</v>
      </c>
      <c r="I249" s="23">
        <v>3.0654400000000002</v>
      </c>
    </row>
    <row r="250" spans="1:9" s="21" customFormat="1" ht="20.100000000000001" customHeight="1" x14ac:dyDescent="0.2">
      <c r="A250" s="22">
        <v>43455</v>
      </c>
      <c r="B250" s="23" t="s">
        <v>52</v>
      </c>
      <c r="C250" s="23">
        <v>2.3916300000000001</v>
      </c>
      <c r="D250" s="23">
        <v>2.4159999999999999</v>
      </c>
      <c r="E250" s="23">
        <v>2.5062500000000001</v>
      </c>
      <c r="F250" s="23">
        <v>2.6118800000000002</v>
      </c>
      <c r="G250" s="23">
        <v>2.8216299999999999</v>
      </c>
      <c r="H250" s="23">
        <v>2.90788</v>
      </c>
      <c r="I250" s="23">
        <v>3.0731299999999999</v>
      </c>
    </row>
    <row r="251" spans="1:9" s="21" customFormat="1" ht="20.100000000000001" customHeight="1" x14ac:dyDescent="0.2">
      <c r="A251" s="22">
        <v>43458</v>
      </c>
      <c r="B251" s="23" t="s">
        <v>53</v>
      </c>
      <c r="C251" s="23">
        <v>2.3898799999999998</v>
      </c>
      <c r="D251" s="23">
        <v>2.4186299999999998</v>
      </c>
      <c r="E251" s="23">
        <v>2.50563</v>
      </c>
      <c r="F251" s="23">
        <v>2.6117499999999998</v>
      </c>
      <c r="G251" s="23">
        <v>2.8134399999999999</v>
      </c>
      <c r="H251" s="23">
        <v>2.8937499999999998</v>
      </c>
      <c r="I251" s="23">
        <v>3.0478800000000001</v>
      </c>
    </row>
    <row r="252" spans="1:9" s="21" customFormat="1" ht="20.100000000000001" customHeight="1" x14ac:dyDescent="0.2">
      <c r="A252" s="22">
        <v>43461</v>
      </c>
      <c r="B252" s="23" t="s">
        <v>51</v>
      </c>
      <c r="C252" s="23">
        <v>2.391</v>
      </c>
      <c r="D252" s="23">
        <v>2.4196300000000002</v>
      </c>
      <c r="E252" s="23">
        <v>2.5223800000000001</v>
      </c>
      <c r="F252" s="23">
        <v>2.6190000000000002</v>
      </c>
      <c r="G252" s="23">
        <v>2.8029999999999999</v>
      </c>
      <c r="H252" s="23">
        <v>2.883</v>
      </c>
      <c r="I252" s="23">
        <v>3.0323799999999999</v>
      </c>
    </row>
    <row r="253" spans="1:9" s="21" customFormat="1" ht="20.100000000000001" customHeight="1" x14ac:dyDescent="0.2">
      <c r="A253" s="22">
        <v>43462</v>
      </c>
      <c r="B253" s="23" t="s">
        <v>52</v>
      </c>
      <c r="C253" s="23">
        <v>2.3923800000000002</v>
      </c>
      <c r="D253" s="23">
        <v>2.41588</v>
      </c>
      <c r="E253" s="23">
        <v>2.5198800000000001</v>
      </c>
      <c r="F253" s="23">
        <v>2.6194999999999999</v>
      </c>
      <c r="G253" s="23">
        <v>2.7970000000000002</v>
      </c>
      <c r="H253" s="23">
        <v>2.8731300000000002</v>
      </c>
      <c r="I253" s="23">
        <v>3.0131299999999999</v>
      </c>
    </row>
    <row r="254" spans="1:9" s="21" customFormat="1" ht="20.100000000000001" customHeight="1" x14ac:dyDescent="0.2">
      <c r="A254" s="22">
        <v>43465</v>
      </c>
      <c r="B254" s="23" t="s">
        <v>53</v>
      </c>
      <c r="C254" s="23">
        <v>2.37825</v>
      </c>
      <c r="D254" s="23">
        <v>2.4113799999999999</v>
      </c>
      <c r="E254" s="23">
        <v>2.5026899999999999</v>
      </c>
      <c r="F254" s="23">
        <v>2.61375</v>
      </c>
      <c r="G254" s="23">
        <v>2.8076300000000001</v>
      </c>
      <c r="H254" s="23">
        <v>2.8756300000000001</v>
      </c>
      <c r="I254" s="23">
        <v>3.0054400000000001</v>
      </c>
    </row>
    <row r="255" spans="1:9" s="21" customFormat="1" ht="20.100000000000001" customHeight="1" x14ac:dyDescent="0.2">
      <c r="A255" s="22">
        <v>43467</v>
      </c>
      <c r="B255" s="23" t="s">
        <v>50</v>
      </c>
      <c r="C255" s="23">
        <v>2.3867500000000001</v>
      </c>
      <c r="D255" s="23">
        <v>2.4147500000000002</v>
      </c>
      <c r="E255" s="23">
        <v>2.5071300000000001</v>
      </c>
      <c r="F255" s="23">
        <v>2.6173799999999998</v>
      </c>
      <c r="G255" s="23">
        <v>2.7938800000000001</v>
      </c>
      <c r="H255" s="23">
        <v>2.8739400000000002</v>
      </c>
      <c r="I255" s="23">
        <v>3.0019999999999998</v>
      </c>
    </row>
    <row r="256" spans="1:9" s="21" customFormat="1" ht="20.100000000000001" customHeight="1" x14ac:dyDescent="0.2">
      <c r="A256" s="22">
        <v>43468</v>
      </c>
      <c r="B256" s="23" t="s">
        <v>51</v>
      </c>
      <c r="C256" s="23">
        <v>2.39188</v>
      </c>
      <c r="D256" s="23">
        <v>2.4132500000000001</v>
      </c>
      <c r="E256" s="23">
        <v>2.51275</v>
      </c>
      <c r="F256" s="23">
        <v>2.6203799999999999</v>
      </c>
      <c r="G256" s="23">
        <v>2.7949999999999999</v>
      </c>
      <c r="H256" s="23">
        <v>2.8588800000000001</v>
      </c>
      <c r="I256" s="23">
        <v>3.0049999999999999</v>
      </c>
    </row>
    <row r="257" spans="1:9" s="21" customFormat="1" ht="20.100000000000001" customHeight="1" x14ac:dyDescent="0.2">
      <c r="A257" s="22">
        <v>43469</v>
      </c>
      <c r="B257" s="23" t="s">
        <v>52</v>
      </c>
      <c r="C257" s="23">
        <v>2.3940000000000001</v>
      </c>
      <c r="D257" s="23">
        <v>2.4097499999999998</v>
      </c>
      <c r="E257" s="23">
        <v>2.5205600000000001</v>
      </c>
      <c r="F257" s="23">
        <v>2.6231300000000002</v>
      </c>
      <c r="G257" s="23">
        <v>2.8038799999999999</v>
      </c>
      <c r="H257" s="23">
        <v>2.85575</v>
      </c>
      <c r="I257" s="23">
        <v>2.96488</v>
      </c>
    </row>
    <row r="258" spans="1:9" s="21" customFormat="1" ht="20.100000000000001" customHeight="1" x14ac:dyDescent="0.2">
      <c r="A258" s="22">
        <v>43472</v>
      </c>
      <c r="B258" s="23" t="s">
        <v>53</v>
      </c>
      <c r="C258" s="23">
        <v>2.3927499999999999</v>
      </c>
      <c r="D258" s="23">
        <v>2.4051300000000002</v>
      </c>
      <c r="E258" s="23">
        <v>2.5111300000000001</v>
      </c>
      <c r="F258" s="23">
        <v>2.63388</v>
      </c>
      <c r="G258" s="23">
        <v>2.7968099999999998</v>
      </c>
      <c r="H258" s="23">
        <v>2.8487499999999999</v>
      </c>
      <c r="I258" s="23">
        <v>2.9947499999999998</v>
      </c>
    </row>
    <row r="259" spans="1:9" s="21" customFormat="1" ht="20.100000000000001" customHeight="1" x14ac:dyDescent="0.2">
      <c r="A259" s="22">
        <v>43473</v>
      </c>
      <c r="B259" s="23" t="s">
        <v>49</v>
      </c>
      <c r="C259" s="23">
        <v>2.3912499999999999</v>
      </c>
      <c r="D259" s="23">
        <v>2.4087499999999999</v>
      </c>
      <c r="E259" s="23">
        <v>2.5154999999999998</v>
      </c>
      <c r="F259" s="23">
        <v>2.6463800000000002</v>
      </c>
      <c r="G259" s="23">
        <v>2.7825000000000002</v>
      </c>
      <c r="H259" s="23">
        <v>2.85256</v>
      </c>
      <c r="I259" s="23">
        <v>3.01613</v>
      </c>
    </row>
    <row r="260" spans="1:9" s="21" customFormat="1" ht="20.100000000000001" customHeight="1" x14ac:dyDescent="0.2">
      <c r="A260" s="22">
        <v>43474</v>
      </c>
      <c r="B260" s="23" t="s">
        <v>50</v>
      </c>
      <c r="C260" s="23">
        <v>2.3907500000000002</v>
      </c>
      <c r="D260" s="23">
        <v>2.4140000000000001</v>
      </c>
      <c r="E260" s="23">
        <v>2.5187499999999998</v>
      </c>
      <c r="F260" s="23">
        <v>2.6528800000000001</v>
      </c>
      <c r="G260" s="23">
        <v>2.79888</v>
      </c>
      <c r="H260" s="23">
        <v>2.8697499999999998</v>
      </c>
      <c r="I260" s="23">
        <v>3.0390000000000001</v>
      </c>
    </row>
    <row r="261" spans="1:9" s="21" customFormat="1" ht="20.100000000000001" customHeight="1" x14ac:dyDescent="0.2">
      <c r="A261" s="22">
        <v>43475</v>
      </c>
      <c r="B261" s="23" t="s">
        <v>51</v>
      </c>
      <c r="C261" s="23">
        <v>2.3941300000000001</v>
      </c>
      <c r="D261" s="23">
        <v>2.40788</v>
      </c>
      <c r="E261" s="23">
        <v>2.5141900000000001</v>
      </c>
      <c r="F261" s="23">
        <v>2.6527500000000002</v>
      </c>
      <c r="G261" s="23">
        <v>2.7969400000000002</v>
      </c>
      <c r="H261" s="23">
        <v>2.8604400000000001</v>
      </c>
      <c r="I261" s="23">
        <v>3.0190000000000001</v>
      </c>
    </row>
    <row r="262" spans="1:9" s="21" customFormat="1" ht="20.100000000000001" customHeight="1" x14ac:dyDescent="0.2">
      <c r="A262" s="22">
        <v>43476</v>
      </c>
      <c r="B262" s="23" t="s">
        <v>52</v>
      </c>
      <c r="C262" s="23">
        <v>2.3893800000000001</v>
      </c>
      <c r="D262" s="23">
        <v>2.407</v>
      </c>
      <c r="E262" s="23">
        <v>2.5089399999999999</v>
      </c>
      <c r="F262" s="23">
        <v>2.6480000000000001</v>
      </c>
      <c r="G262" s="23">
        <v>2.7873100000000002</v>
      </c>
      <c r="H262" s="23">
        <v>2.86463</v>
      </c>
      <c r="I262" s="23">
        <v>3.0186899999999999</v>
      </c>
    </row>
    <row r="263" spans="1:9" s="21" customFormat="1" ht="20.100000000000001" customHeight="1" x14ac:dyDescent="0.2">
      <c r="A263" s="22">
        <v>43479</v>
      </c>
      <c r="B263" s="23" t="s">
        <v>53</v>
      </c>
      <c r="C263" s="23">
        <v>2.3901300000000001</v>
      </c>
      <c r="D263" s="23">
        <v>2.3961299999999999</v>
      </c>
      <c r="E263" s="23">
        <v>2.5100600000000002</v>
      </c>
      <c r="F263" s="23">
        <v>2.637</v>
      </c>
      <c r="G263" s="23">
        <v>2.77894</v>
      </c>
      <c r="H263" s="23">
        <v>2.85344</v>
      </c>
      <c r="I263" s="23">
        <v>3.0108799999999998</v>
      </c>
    </row>
    <row r="264" spans="1:9" s="21" customFormat="1" ht="20.100000000000001" customHeight="1" x14ac:dyDescent="0.2">
      <c r="A264" s="22">
        <v>43480</v>
      </c>
      <c r="B264" s="23" t="s">
        <v>49</v>
      </c>
      <c r="C264" s="23">
        <v>2.3867500000000001</v>
      </c>
      <c r="D264" s="23">
        <v>2.4020000000000001</v>
      </c>
      <c r="E264" s="23">
        <v>2.5074999999999998</v>
      </c>
      <c r="F264" s="23">
        <v>2.6396299999999999</v>
      </c>
      <c r="G264" s="23">
        <v>2.7734399999999999</v>
      </c>
      <c r="H264" s="23">
        <v>2.8458100000000002</v>
      </c>
      <c r="I264" s="23">
        <v>3.0083799999999998</v>
      </c>
    </row>
    <row r="265" spans="1:9" s="21" customFormat="1" ht="20.100000000000001" customHeight="1" x14ac:dyDescent="0.2">
      <c r="A265" s="22">
        <v>43481</v>
      </c>
      <c r="B265" s="23" t="s">
        <v>50</v>
      </c>
      <c r="C265" s="23">
        <v>2.3848799999999999</v>
      </c>
      <c r="D265" s="23">
        <v>2.4071899999999999</v>
      </c>
      <c r="E265" s="23">
        <v>2.5132500000000002</v>
      </c>
      <c r="F265" s="23">
        <v>2.6422500000000002</v>
      </c>
      <c r="G265" s="23">
        <v>2.7803100000000001</v>
      </c>
      <c r="H265" s="23">
        <v>2.8616299999999999</v>
      </c>
      <c r="I265" s="23">
        <v>3.0301300000000002</v>
      </c>
    </row>
    <row r="266" spans="1:9" s="21" customFormat="1" ht="20.100000000000001" customHeight="1" x14ac:dyDescent="0.2">
      <c r="A266" s="22">
        <v>43482</v>
      </c>
      <c r="B266" s="23" t="s">
        <v>51</v>
      </c>
      <c r="C266" s="23">
        <v>2.38463</v>
      </c>
      <c r="D266" s="23">
        <v>2.4066299999999998</v>
      </c>
      <c r="E266" s="23">
        <v>2.5030000000000001</v>
      </c>
      <c r="F266" s="23">
        <v>2.63313</v>
      </c>
      <c r="G266" s="23">
        <v>2.7757499999999999</v>
      </c>
      <c r="H266" s="23">
        <v>2.8525</v>
      </c>
      <c r="I266" s="23">
        <v>3.0118800000000001</v>
      </c>
    </row>
    <row r="267" spans="1:9" s="21" customFormat="1" ht="20.100000000000001" customHeight="1" x14ac:dyDescent="0.2">
      <c r="A267" s="22">
        <v>43483</v>
      </c>
      <c r="B267" s="23" t="s">
        <v>52</v>
      </c>
      <c r="C267" s="23">
        <v>2.38388</v>
      </c>
      <c r="D267" s="23">
        <v>2.4061300000000001</v>
      </c>
      <c r="E267" s="23">
        <v>2.5059999999999998</v>
      </c>
      <c r="F267" s="23">
        <v>2.6296300000000001</v>
      </c>
      <c r="G267" s="23">
        <v>2.7610000000000001</v>
      </c>
      <c r="H267" s="23">
        <v>2.85188</v>
      </c>
      <c r="I267" s="23">
        <v>3.0301300000000002</v>
      </c>
    </row>
    <row r="268" spans="1:9" s="21" customFormat="1" ht="20.100000000000001" customHeight="1" x14ac:dyDescent="0.2">
      <c r="A268" s="22">
        <v>43486</v>
      </c>
      <c r="B268" s="23" t="s">
        <v>53</v>
      </c>
      <c r="C268" s="23"/>
      <c r="D268" s="23">
        <v>2.4092500000000001</v>
      </c>
      <c r="E268" s="23">
        <v>2.5122499999999999</v>
      </c>
      <c r="F268" s="23">
        <v>2.6343800000000002</v>
      </c>
      <c r="G268" s="23">
        <v>2.7723800000000001</v>
      </c>
      <c r="H268" s="23">
        <v>2.8547500000000001</v>
      </c>
      <c r="I268" s="23">
        <v>3.0398800000000001</v>
      </c>
    </row>
    <row r="269" spans="1:9" s="21" customFormat="1" ht="20.100000000000001" customHeight="1" x14ac:dyDescent="0.2">
      <c r="A269" s="22">
        <v>43487</v>
      </c>
      <c r="B269" s="23" t="s">
        <v>49</v>
      </c>
      <c r="C269" s="23">
        <v>2.3756300000000001</v>
      </c>
      <c r="D269" s="23">
        <v>2.4088799999999999</v>
      </c>
      <c r="E269" s="23">
        <v>2.5190000000000001</v>
      </c>
      <c r="F269" s="23">
        <v>2.64188</v>
      </c>
      <c r="G269" s="23">
        <v>2.7792500000000002</v>
      </c>
      <c r="H269" s="23">
        <v>2.8536299999999999</v>
      </c>
      <c r="I269" s="23">
        <v>3.0371299999999999</v>
      </c>
    </row>
    <row r="270" spans="1:9" s="21" customFormat="1" ht="20.100000000000001" customHeight="1" x14ac:dyDescent="0.2">
      <c r="A270" s="22">
        <v>43488</v>
      </c>
      <c r="B270" s="23" t="s">
        <v>50</v>
      </c>
      <c r="C270" s="23">
        <v>2.3841299999999999</v>
      </c>
      <c r="D270" s="23">
        <v>2.41438</v>
      </c>
      <c r="E270" s="23">
        <v>2.5099999999999998</v>
      </c>
      <c r="F270" s="23">
        <v>2.6269999999999998</v>
      </c>
      <c r="G270" s="23">
        <v>2.7706300000000001</v>
      </c>
      <c r="H270" s="23">
        <v>2.8536299999999999</v>
      </c>
      <c r="I270" s="23">
        <v>3.0350000000000001</v>
      </c>
    </row>
    <row r="271" spans="1:9" s="21" customFormat="1" ht="20.100000000000001" customHeight="1" x14ac:dyDescent="0.2">
      <c r="A271" s="22">
        <v>43489</v>
      </c>
      <c r="B271" s="23" t="s">
        <v>51</v>
      </c>
      <c r="C271" s="23">
        <v>2.3845000000000001</v>
      </c>
      <c r="D271" s="23">
        <v>2.4095</v>
      </c>
      <c r="E271" s="23">
        <v>2.5018799999999999</v>
      </c>
      <c r="F271" s="23">
        <v>2.625</v>
      </c>
      <c r="G271" s="23">
        <v>2.7647499999999998</v>
      </c>
      <c r="H271" s="23">
        <v>2.8501300000000001</v>
      </c>
      <c r="I271" s="23">
        <v>3.0291299999999999</v>
      </c>
    </row>
    <row r="272" spans="1:9" s="21" customFormat="1" ht="20.100000000000001" customHeight="1" x14ac:dyDescent="0.2">
      <c r="A272" s="22">
        <v>43490</v>
      </c>
      <c r="B272" s="23" t="s">
        <v>52</v>
      </c>
      <c r="C272" s="23">
        <v>2.3847499999999999</v>
      </c>
      <c r="D272" s="23">
        <v>2.4027500000000002</v>
      </c>
      <c r="E272" s="23">
        <v>2.5</v>
      </c>
      <c r="F272" s="23">
        <v>2.6463800000000002</v>
      </c>
      <c r="G272" s="23">
        <v>2.75163</v>
      </c>
      <c r="H272" s="23">
        <v>2.8322500000000002</v>
      </c>
      <c r="I272" s="23">
        <v>3.0314999999999999</v>
      </c>
    </row>
    <row r="273" spans="1:9" s="21" customFormat="1" ht="20.100000000000001" customHeight="1" x14ac:dyDescent="0.2">
      <c r="A273" s="22">
        <v>43493</v>
      </c>
      <c r="B273" s="23" t="s">
        <v>53</v>
      </c>
      <c r="C273" s="23">
        <v>2.3848799999999999</v>
      </c>
      <c r="D273" s="23">
        <v>2.4064999999999999</v>
      </c>
      <c r="E273" s="23">
        <v>2.5017499999999999</v>
      </c>
      <c r="F273" s="23">
        <v>2.6461299999999999</v>
      </c>
      <c r="G273" s="23">
        <v>2.7505000000000002</v>
      </c>
      <c r="H273" s="23">
        <v>2.8298800000000002</v>
      </c>
      <c r="I273" s="23">
        <v>3.03</v>
      </c>
    </row>
    <row r="274" spans="1:9" s="21" customFormat="1" ht="20.100000000000001" customHeight="1" x14ac:dyDescent="0.2">
      <c r="A274" s="22">
        <v>43494</v>
      </c>
      <c r="B274" s="23" t="s">
        <v>49</v>
      </c>
      <c r="C274" s="23">
        <v>2.3843800000000002</v>
      </c>
      <c r="D274" s="23">
        <v>2.4138799999999998</v>
      </c>
      <c r="E274" s="23">
        <v>2.4988800000000002</v>
      </c>
      <c r="F274" s="23">
        <v>2.6336300000000001</v>
      </c>
      <c r="G274" s="23">
        <v>2.74438</v>
      </c>
      <c r="H274" s="23">
        <v>2.8233799999999998</v>
      </c>
      <c r="I274" s="23">
        <v>3.0237500000000002</v>
      </c>
    </row>
    <row r="275" spans="1:9" s="21" customFormat="1" ht="20.100000000000001" customHeight="1" x14ac:dyDescent="0.2">
      <c r="A275" s="22">
        <v>43495</v>
      </c>
      <c r="B275" s="23" t="s">
        <v>50</v>
      </c>
      <c r="C275" s="23">
        <v>2.38388</v>
      </c>
      <c r="D275" s="23">
        <v>2.4147500000000002</v>
      </c>
      <c r="E275" s="23">
        <v>2.5091299999999999</v>
      </c>
      <c r="F275" s="23">
        <v>2.6192500000000001</v>
      </c>
      <c r="G275" s="23">
        <v>2.7362500000000001</v>
      </c>
      <c r="H275" s="23">
        <v>2.8115000000000001</v>
      </c>
      <c r="I275" s="23">
        <v>3.0206300000000001</v>
      </c>
    </row>
    <row r="276" spans="1:9" s="21" customFormat="1" ht="20.100000000000001" customHeight="1" x14ac:dyDescent="0.2">
      <c r="A276" s="22">
        <v>43496</v>
      </c>
      <c r="B276" s="23" t="s">
        <v>51</v>
      </c>
      <c r="C276" s="23">
        <v>2.3835000000000002</v>
      </c>
      <c r="D276" s="23">
        <v>2.4088799999999999</v>
      </c>
      <c r="E276" s="23">
        <v>2.5137499999999999</v>
      </c>
      <c r="F276" s="23">
        <v>2.6252499999999999</v>
      </c>
      <c r="G276" s="23">
        <v>2.7374999999999998</v>
      </c>
      <c r="H276" s="23">
        <v>2.7995000000000001</v>
      </c>
      <c r="I276" s="23">
        <v>2.9834999999999998</v>
      </c>
    </row>
    <row r="277" spans="1:9" s="21" customFormat="1" ht="20.100000000000001" customHeight="1" x14ac:dyDescent="0.2">
      <c r="A277" s="22">
        <v>43497</v>
      </c>
      <c r="B277" s="23" t="s">
        <v>52</v>
      </c>
      <c r="C277" s="23">
        <v>2.3740000000000001</v>
      </c>
      <c r="D277" s="23">
        <v>2.4083800000000002</v>
      </c>
      <c r="E277" s="23">
        <v>2.5139999999999998</v>
      </c>
      <c r="F277" s="23">
        <v>2.6284999999999998</v>
      </c>
      <c r="G277" s="23">
        <v>2.7326299999999999</v>
      </c>
      <c r="H277" s="23">
        <v>2.79</v>
      </c>
      <c r="I277" s="23">
        <v>2.96163</v>
      </c>
    </row>
    <row r="278" spans="1:9" s="21" customFormat="1" ht="20.100000000000001" customHeight="1" x14ac:dyDescent="0.2">
      <c r="A278" s="22">
        <v>43500</v>
      </c>
      <c r="B278" s="23" t="s">
        <v>53</v>
      </c>
      <c r="C278" s="23">
        <v>2.3841299999999999</v>
      </c>
      <c r="D278" s="23">
        <v>2.4079999999999999</v>
      </c>
      <c r="E278" s="23">
        <v>2.5131299999999999</v>
      </c>
      <c r="F278" s="23">
        <v>2.63775</v>
      </c>
      <c r="G278" s="23">
        <v>2.7343799999999998</v>
      </c>
      <c r="H278" s="23">
        <v>2.79575</v>
      </c>
      <c r="I278" s="23">
        <v>2.9801299999999999</v>
      </c>
    </row>
    <row r="279" spans="1:9" s="21" customFormat="1" ht="20.100000000000001" customHeight="1" x14ac:dyDescent="0.2">
      <c r="A279" s="22">
        <v>43501</v>
      </c>
      <c r="B279" s="23" t="s">
        <v>49</v>
      </c>
      <c r="C279" s="23">
        <v>2.3823799999999999</v>
      </c>
      <c r="D279" s="23">
        <v>2.4106299999999998</v>
      </c>
      <c r="E279" s="23">
        <v>2.5122499999999999</v>
      </c>
      <c r="F279" s="23">
        <v>2.6201300000000001</v>
      </c>
      <c r="G279" s="23">
        <v>2.7385000000000002</v>
      </c>
      <c r="H279" s="23">
        <v>2.7774999999999999</v>
      </c>
      <c r="I279" s="23">
        <v>2.9857499999999999</v>
      </c>
    </row>
    <row r="280" spans="1:9" s="21" customFormat="1" ht="20.100000000000001" customHeight="1" x14ac:dyDescent="0.2">
      <c r="A280" s="22">
        <v>43502</v>
      </c>
      <c r="B280" s="23" t="s">
        <v>50</v>
      </c>
      <c r="C280" s="23">
        <v>2.3832499999999999</v>
      </c>
      <c r="D280" s="23">
        <v>2.4123800000000002</v>
      </c>
      <c r="E280" s="23">
        <v>2.5126300000000001</v>
      </c>
      <c r="F280" s="23">
        <v>2.6092499999999998</v>
      </c>
      <c r="G280" s="23">
        <v>2.7376299999999998</v>
      </c>
      <c r="H280" s="23">
        <v>2.7762500000000001</v>
      </c>
      <c r="I280" s="23">
        <v>2.9620000000000002</v>
      </c>
    </row>
    <row r="281" spans="1:9" s="21" customFormat="1" ht="20.100000000000001" customHeight="1" x14ac:dyDescent="0.2">
      <c r="A281" s="22">
        <v>43503</v>
      </c>
      <c r="B281" s="23" t="s">
        <v>51</v>
      </c>
      <c r="C281" s="23">
        <v>2.38313</v>
      </c>
      <c r="D281" s="23">
        <v>2.4097499999999998</v>
      </c>
      <c r="E281" s="23">
        <v>2.51688</v>
      </c>
      <c r="F281" s="23">
        <v>2.6101299999999998</v>
      </c>
      <c r="G281" s="23">
        <v>2.6970000000000001</v>
      </c>
      <c r="H281" s="23">
        <v>2.7650000000000001</v>
      </c>
      <c r="I281" s="23">
        <v>2.9482499999999998</v>
      </c>
    </row>
    <row r="282" spans="1:9" s="21" customFormat="1" ht="20.100000000000001" customHeight="1" x14ac:dyDescent="0.2">
      <c r="A282" s="22">
        <v>43504</v>
      </c>
      <c r="B282" s="23" t="s">
        <v>52</v>
      </c>
      <c r="C282" s="23">
        <v>2.3857499999999998</v>
      </c>
      <c r="D282" s="23">
        <v>2.40788</v>
      </c>
      <c r="E282" s="23">
        <v>2.50413</v>
      </c>
      <c r="F282" s="23">
        <v>2.59388</v>
      </c>
      <c r="G282" s="23">
        <v>2.6977500000000001</v>
      </c>
      <c r="H282" s="23">
        <v>2.7418800000000001</v>
      </c>
      <c r="I282" s="23">
        <v>2.9357500000000001</v>
      </c>
    </row>
    <row r="283" spans="1:9" s="21" customFormat="1" ht="20.100000000000001" customHeight="1" x14ac:dyDescent="0.2">
      <c r="A283" s="22">
        <v>43507</v>
      </c>
      <c r="B283" s="23" t="s">
        <v>53</v>
      </c>
      <c r="C283" s="23">
        <v>2.38625</v>
      </c>
      <c r="D283" s="23">
        <v>2.4081299999999999</v>
      </c>
      <c r="E283" s="23">
        <v>2.4978799999999999</v>
      </c>
      <c r="F283" s="23">
        <v>2.5855000000000001</v>
      </c>
      <c r="G283" s="23">
        <v>2.6880000000000002</v>
      </c>
      <c r="H283" s="23">
        <v>2.7336299999999998</v>
      </c>
      <c r="I283" s="23">
        <v>2.9242499999999998</v>
      </c>
    </row>
    <row r="284" spans="1:9" s="21" customFormat="1" ht="20.100000000000001" customHeight="1" x14ac:dyDescent="0.2">
      <c r="A284" s="22">
        <v>43508</v>
      </c>
      <c r="B284" s="23" t="s">
        <v>49</v>
      </c>
      <c r="C284" s="23">
        <v>2.3835000000000002</v>
      </c>
      <c r="D284" s="23">
        <v>2.4184999999999999</v>
      </c>
      <c r="E284" s="23">
        <v>2.4937499999999999</v>
      </c>
      <c r="F284" s="23">
        <v>2.5911300000000002</v>
      </c>
      <c r="G284" s="23">
        <v>2.6928800000000002</v>
      </c>
      <c r="H284" s="23">
        <v>2.7404999999999999</v>
      </c>
      <c r="I284" s="23">
        <v>2.9152499999999999</v>
      </c>
    </row>
    <row r="285" spans="1:9" s="21" customFormat="1" ht="20.100000000000001" customHeight="1" x14ac:dyDescent="0.2">
      <c r="A285" s="22">
        <v>43509</v>
      </c>
      <c r="B285" s="23" t="s">
        <v>50</v>
      </c>
      <c r="C285" s="23">
        <v>2.3843800000000002</v>
      </c>
      <c r="D285" s="23">
        <v>2.4186299999999998</v>
      </c>
      <c r="E285" s="23">
        <v>2.48875</v>
      </c>
      <c r="F285" s="23">
        <v>2.5988799999999999</v>
      </c>
      <c r="G285" s="23">
        <v>2.6837499999999999</v>
      </c>
      <c r="H285" s="23">
        <v>2.7432500000000002</v>
      </c>
      <c r="I285" s="23">
        <v>2.9157500000000001</v>
      </c>
    </row>
    <row r="286" spans="1:9" s="21" customFormat="1" ht="20.100000000000001" customHeight="1" x14ac:dyDescent="0.2">
      <c r="A286" s="22">
        <v>43510</v>
      </c>
      <c r="B286" s="23" t="s">
        <v>51</v>
      </c>
      <c r="C286" s="23">
        <v>2.3827500000000001</v>
      </c>
      <c r="D286" s="23">
        <v>2.41513</v>
      </c>
      <c r="E286" s="23">
        <v>2.4813800000000001</v>
      </c>
      <c r="F286" s="23">
        <v>2.5905</v>
      </c>
      <c r="G286" s="23">
        <v>2.6938800000000001</v>
      </c>
      <c r="H286" s="23">
        <v>2.7440000000000002</v>
      </c>
      <c r="I286" s="23">
        <v>2.91675</v>
      </c>
    </row>
    <row r="287" spans="1:9" s="21" customFormat="1" ht="20.100000000000001" customHeight="1" x14ac:dyDescent="0.2">
      <c r="A287" s="22">
        <v>43511</v>
      </c>
      <c r="B287" s="23" t="s">
        <v>52</v>
      </c>
      <c r="C287" s="23">
        <v>2.387</v>
      </c>
      <c r="D287" s="23">
        <v>2.415</v>
      </c>
      <c r="E287" s="23">
        <v>2.4803799999999998</v>
      </c>
      <c r="F287" s="23">
        <v>2.5842499999999999</v>
      </c>
      <c r="G287" s="23">
        <v>2.6828799999999999</v>
      </c>
      <c r="H287" s="23">
        <v>2.7537500000000001</v>
      </c>
      <c r="I287" s="23">
        <v>2.9060000000000001</v>
      </c>
    </row>
    <row r="288" spans="1:9" s="21" customFormat="1" ht="20.100000000000001" customHeight="1" x14ac:dyDescent="0.2">
      <c r="A288" s="22">
        <v>43514</v>
      </c>
      <c r="B288" s="23" t="s">
        <v>53</v>
      </c>
      <c r="C288" s="23"/>
      <c r="D288" s="23">
        <v>2.415</v>
      </c>
      <c r="E288" s="23">
        <v>2.48475</v>
      </c>
      <c r="F288" s="23">
        <v>2.5781299999999998</v>
      </c>
      <c r="G288" s="23">
        <v>2.6436299999999999</v>
      </c>
      <c r="H288" s="23">
        <v>2.7553800000000002</v>
      </c>
      <c r="I288" s="23">
        <v>2.90713</v>
      </c>
    </row>
    <row r="289" spans="1:9" s="21" customFormat="1" ht="20.100000000000001" customHeight="1" x14ac:dyDescent="0.2">
      <c r="A289" s="22">
        <v>43515</v>
      </c>
      <c r="B289" s="23" t="s">
        <v>49</v>
      </c>
      <c r="C289" s="23">
        <v>2.3780000000000001</v>
      </c>
      <c r="D289" s="23">
        <v>2.4095</v>
      </c>
      <c r="E289" s="23">
        <v>2.4822500000000001</v>
      </c>
      <c r="F289" s="23">
        <v>2.5781299999999998</v>
      </c>
      <c r="G289" s="23">
        <v>2.6412499999999999</v>
      </c>
      <c r="H289" s="23">
        <v>2.7357499999999999</v>
      </c>
      <c r="I289" s="23">
        <v>2.89113</v>
      </c>
    </row>
    <row r="290" spans="1:9" s="21" customFormat="1" ht="20.100000000000001" customHeight="1" x14ac:dyDescent="0.2">
      <c r="A290" s="22">
        <v>43516</v>
      </c>
      <c r="B290" s="23" t="s">
        <v>50</v>
      </c>
      <c r="C290" s="23">
        <v>2.38463</v>
      </c>
      <c r="D290" s="23">
        <v>2.4171299999999998</v>
      </c>
      <c r="E290" s="23">
        <v>2.4811299999999998</v>
      </c>
      <c r="F290" s="23">
        <v>2.5735000000000001</v>
      </c>
      <c r="G290" s="23">
        <v>2.6633800000000001</v>
      </c>
      <c r="H290" s="23">
        <v>2.6933799999999999</v>
      </c>
      <c r="I290" s="23">
        <v>2.87425</v>
      </c>
    </row>
    <row r="291" spans="1:9" s="21" customFormat="1" ht="20.100000000000001" customHeight="1" x14ac:dyDescent="0.2">
      <c r="A291" s="22">
        <v>43517</v>
      </c>
      <c r="B291" s="23" t="s">
        <v>51</v>
      </c>
      <c r="C291" s="23">
        <v>2.3824999999999998</v>
      </c>
      <c r="D291" s="23">
        <v>2.4087499999999999</v>
      </c>
      <c r="E291" s="23">
        <v>2.4898799999999999</v>
      </c>
      <c r="F291" s="23">
        <v>2.57063</v>
      </c>
      <c r="G291" s="23">
        <v>2.6509999999999998</v>
      </c>
      <c r="H291" s="23">
        <v>2.70425</v>
      </c>
      <c r="I291" s="23">
        <v>2.88863</v>
      </c>
    </row>
    <row r="292" spans="1:9" s="21" customFormat="1" ht="20.100000000000001" customHeight="1" x14ac:dyDescent="0.2">
      <c r="A292" s="22">
        <v>43518</v>
      </c>
      <c r="B292" s="23" t="s">
        <v>52</v>
      </c>
      <c r="C292" s="23">
        <v>2.38788</v>
      </c>
      <c r="D292" s="23">
        <v>2.4101300000000001</v>
      </c>
      <c r="E292" s="23">
        <v>2.4843799999999998</v>
      </c>
      <c r="F292" s="23">
        <v>2.5763799999999999</v>
      </c>
      <c r="G292" s="23">
        <v>2.6462500000000002</v>
      </c>
      <c r="H292" s="23">
        <v>2.706</v>
      </c>
      <c r="I292" s="23">
        <v>2.8916300000000001</v>
      </c>
    </row>
    <row r="293" spans="1:9" s="21" customFormat="1" ht="20.100000000000001" customHeight="1" x14ac:dyDescent="0.2">
      <c r="A293" s="22">
        <v>43521</v>
      </c>
      <c r="B293" s="23" t="s">
        <v>53</v>
      </c>
      <c r="C293" s="23">
        <v>2.38863</v>
      </c>
      <c r="D293" s="23">
        <v>2.4097499999999998</v>
      </c>
      <c r="E293" s="23">
        <v>2.4791300000000001</v>
      </c>
      <c r="F293" s="23">
        <v>2.5767500000000001</v>
      </c>
      <c r="G293" s="23">
        <v>2.63863</v>
      </c>
      <c r="H293" s="23">
        <v>2.69313</v>
      </c>
      <c r="I293" s="23">
        <v>2.88313</v>
      </c>
    </row>
    <row r="294" spans="1:9" s="21" customFormat="1" ht="20.100000000000001" customHeight="1" x14ac:dyDescent="0.2">
      <c r="A294" s="22">
        <v>43522</v>
      </c>
      <c r="B294" s="23" t="s">
        <v>49</v>
      </c>
      <c r="C294" s="23">
        <v>2.38863</v>
      </c>
      <c r="D294" s="23">
        <v>2.4138799999999998</v>
      </c>
      <c r="E294" s="23">
        <v>2.4929999999999999</v>
      </c>
      <c r="F294" s="23">
        <v>2.5791300000000001</v>
      </c>
      <c r="G294" s="23">
        <v>2.6288800000000001</v>
      </c>
      <c r="H294" s="23">
        <v>2.6869999999999998</v>
      </c>
      <c r="I294" s="23">
        <v>2.87825</v>
      </c>
    </row>
    <row r="295" spans="1:9" s="21" customFormat="1" ht="20.100000000000001" customHeight="1" x14ac:dyDescent="0.2">
      <c r="A295" s="22">
        <v>43523</v>
      </c>
      <c r="B295" s="23" t="s">
        <v>50</v>
      </c>
      <c r="C295" s="23">
        <v>2.3882500000000002</v>
      </c>
      <c r="D295" s="23">
        <v>2.4135</v>
      </c>
      <c r="E295" s="23">
        <v>2.4892500000000002</v>
      </c>
      <c r="F295" s="23">
        <v>2.57213</v>
      </c>
      <c r="G295" s="23">
        <v>2.6261299999999999</v>
      </c>
      <c r="H295" s="23">
        <v>2.6850000000000001</v>
      </c>
      <c r="I295" s="23">
        <v>2.8664999999999998</v>
      </c>
    </row>
    <row r="296" spans="1:9" s="21" customFormat="1" ht="20.100000000000001" customHeight="1" x14ac:dyDescent="0.2">
      <c r="A296" s="22">
        <v>43524</v>
      </c>
      <c r="B296" s="23" t="s">
        <v>51</v>
      </c>
      <c r="C296" s="23">
        <v>2.3827500000000001</v>
      </c>
      <c r="D296" s="23">
        <v>2.4077500000000001</v>
      </c>
      <c r="E296" s="23">
        <v>2.49038</v>
      </c>
      <c r="F296" s="23">
        <v>2.5671300000000001</v>
      </c>
      <c r="G296" s="23">
        <v>2.6151300000000002</v>
      </c>
      <c r="H296" s="23">
        <v>2.6857500000000001</v>
      </c>
      <c r="I296" s="23">
        <v>2.8648799999999999</v>
      </c>
    </row>
    <row r="297" spans="1:9" s="21" customFormat="1" ht="20.100000000000001" customHeight="1" x14ac:dyDescent="0.2">
      <c r="A297" s="22">
        <v>43525</v>
      </c>
      <c r="B297" s="23" t="s">
        <v>52</v>
      </c>
      <c r="C297" s="23">
        <v>2.3848799999999999</v>
      </c>
      <c r="D297" s="23">
        <v>2.4079999999999999</v>
      </c>
      <c r="E297" s="23">
        <v>2.4818799999999999</v>
      </c>
      <c r="F297" s="23">
        <v>2.5613800000000002</v>
      </c>
      <c r="G297" s="23">
        <v>2.5985</v>
      </c>
      <c r="H297" s="23">
        <v>2.6821299999999999</v>
      </c>
      <c r="I297" s="23">
        <v>2.879</v>
      </c>
    </row>
    <row r="298" spans="1:9" s="21" customFormat="1" ht="20.100000000000001" customHeight="1" x14ac:dyDescent="0.2">
      <c r="A298" s="22">
        <v>43528</v>
      </c>
      <c r="B298" s="23" t="s">
        <v>53</v>
      </c>
      <c r="C298" s="23">
        <v>2.3823799999999999</v>
      </c>
      <c r="D298" s="23">
        <v>2.4052500000000001</v>
      </c>
      <c r="E298" s="23">
        <v>2.4830000000000001</v>
      </c>
      <c r="F298" s="23">
        <v>2.5597500000000002</v>
      </c>
      <c r="G298" s="23">
        <v>2.6076299999999999</v>
      </c>
      <c r="H298" s="23">
        <v>2.6826300000000001</v>
      </c>
      <c r="I298" s="23">
        <v>2.8832499999999999</v>
      </c>
    </row>
    <row r="299" spans="1:9" s="21" customFormat="1" ht="20.100000000000001" customHeight="1" x14ac:dyDescent="0.2">
      <c r="A299" s="22">
        <v>43529</v>
      </c>
      <c r="B299" s="23" t="s">
        <v>49</v>
      </c>
      <c r="C299" s="23">
        <v>2.3906299999999998</v>
      </c>
      <c r="D299" s="23">
        <v>2.4173800000000001</v>
      </c>
      <c r="E299" s="23">
        <v>2.48088</v>
      </c>
      <c r="F299" s="23">
        <v>2.5606300000000002</v>
      </c>
      <c r="G299" s="23">
        <v>2.60663</v>
      </c>
      <c r="H299" s="23">
        <v>2.6847500000000002</v>
      </c>
      <c r="I299" s="23">
        <v>2.8836300000000001</v>
      </c>
    </row>
    <row r="300" spans="1:9" s="21" customFormat="1" ht="20.100000000000001" customHeight="1" x14ac:dyDescent="0.2">
      <c r="A300" s="22">
        <v>43530</v>
      </c>
      <c r="B300" s="23" t="s">
        <v>50</v>
      </c>
      <c r="C300" s="23">
        <v>2.3906299999999998</v>
      </c>
      <c r="D300" s="23">
        <v>2.4123800000000002</v>
      </c>
      <c r="E300" s="23">
        <v>2.4917500000000001</v>
      </c>
      <c r="F300" s="23">
        <v>2.5618799999999999</v>
      </c>
      <c r="G300" s="23">
        <v>2.5945</v>
      </c>
      <c r="H300" s="23">
        <v>2.6881300000000001</v>
      </c>
      <c r="I300" s="23">
        <v>2.8863799999999999</v>
      </c>
    </row>
    <row r="301" spans="1:9" s="21" customFormat="1" ht="20.100000000000001" customHeight="1" x14ac:dyDescent="0.2">
      <c r="A301" s="22">
        <v>43531</v>
      </c>
      <c r="B301" s="23" t="s">
        <v>51</v>
      </c>
      <c r="C301" s="23">
        <v>2.3897499999999998</v>
      </c>
      <c r="D301" s="23">
        <v>2.41025</v>
      </c>
      <c r="E301" s="23">
        <v>2.49275</v>
      </c>
      <c r="F301" s="23">
        <v>2.5615000000000001</v>
      </c>
      <c r="G301" s="23">
        <v>2.6006300000000002</v>
      </c>
      <c r="H301" s="23">
        <v>2.68275</v>
      </c>
      <c r="I301" s="23">
        <v>2.8761299999999999</v>
      </c>
    </row>
    <row r="302" spans="1:9" s="21" customFormat="1" ht="20.100000000000001" customHeight="1" x14ac:dyDescent="0.2">
      <c r="A302" s="22">
        <v>43532</v>
      </c>
      <c r="B302" s="23" t="s">
        <v>52</v>
      </c>
      <c r="C302" s="23">
        <v>2.3868800000000001</v>
      </c>
      <c r="D302" s="23">
        <v>2.40388</v>
      </c>
      <c r="E302" s="23">
        <v>2.4914999999999998</v>
      </c>
      <c r="F302" s="23">
        <v>2.5701299999999998</v>
      </c>
      <c r="G302" s="23">
        <v>2.5966300000000002</v>
      </c>
      <c r="H302" s="23">
        <v>2.6789999999999998</v>
      </c>
      <c r="I302" s="23">
        <v>2.8636300000000001</v>
      </c>
    </row>
    <row r="303" spans="1:9" s="21" customFormat="1" ht="20.100000000000001" customHeight="1" x14ac:dyDescent="0.2">
      <c r="A303" s="22">
        <v>43535</v>
      </c>
      <c r="B303" s="23" t="s">
        <v>53</v>
      </c>
      <c r="C303" s="23">
        <v>2.39025</v>
      </c>
      <c r="D303" s="23">
        <v>2.4037500000000001</v>
      </c>
      <c r="E303" s="23">
        <v>2.4988800000000002</v>
      </c>
      <c r="F303" s="23">
        <v>2.5714999999999999</v>
      </c>
      <c r="G303" s="23">
        <v>2.60825</v>
      </c>
      <c r="H303" s="23">
        <v>2.6792500000000001</v>
      </c>
      <c r="I303" s="23">
        <v>2.8690000000000002</v>
      </c>
    </row>
    <row r="304" spans="1:9" s="21" customFormat="1" ht="20.100000000000001" customHeight="1" x14ac:dyDescent="0.2">
      <c r="A304" s="22">
        <v>43536</v>
      </c>
      <c r="B304" s="23" t="s">
        <v>49</v>
      </c>
      <c r="C304" s="23">
        <v>2.3903799999999999</v>
      </c>
      <c r="D304" s="23">
        <v>2.41675</v>
      </c>
      <c r="E304" s="23">
        <v>2.4886300000000001</v>
      </c>
      <c r="F304" s="23">
        <v>2.5692499999999998</v>
      </c>
      <c r="G304" s="23">
        <v>2.5932499999999998</v>
      </c>
      <c r="H304" s="23">
        <v>2.6821299999999999</v>
      </c>
      <c r="I304" s="23">
        <v>2.8685</v>
      </c>
    </row>
    <row r="305" spans="1:9" s="21" customFormat="1" ht="20.100000000000001" customHeight="1" x14ac:dyDescent="0.2">
      <c r="A305" s="22">
        <v>43537</v>
      </c>
      <c r="B305" s="23" t="s">
        <v>50</v>
      </c>
      <c r="C305" s="23">
        <v>2.3901300000000001</v>
      </c>
      <c r="D305" s="23">
        <v>2.41588</v>
      </c>
      <c r="E305" s="23">
        <v>2.4837500000000001</v>
      </c>
      <c r="F305" s="23">
        <v>2.5684999999999998</v>
      </c>
      <c r="G305" s="23">
        <v>2.6108799999999999</v>
      </c>
      <c r="H305" s="23">
        <v>2.67638</v>
      </c>
      <c r="I305" s="23">
        <v>2.859</v>
      </c>
    </row>
    <row r="306" spans="1:9" s="21" customFormat="1" ht="20.100000000000001" customHeight="1" x14ac:dyDescent="0.2">
      <c r="A306" s="22">
        <v>43538</v>
      </c>
      <c r="B306" s="23" t="s">
        <v>51</v>
      </c>
      <c r="C306" s="23">
        <v>2.3903799999999999</v>
      </c>
      <c r="D306" s="23">
        <v>2.4093800000000001</v>
      </c>
      <c r="E306" s="23">
        <v>2.4817499999999999</v>
      </c>
      <c r="F306" s="23">
        <v>2.5667499999999999</v>
      </c>
      <c r="G306" s="23">
        <v>2.61463</v>
      </c>
      <c r="H306" s="23">
        <v>2.6791299999999998</v>
      </c>
      <c r="I306" s="23">
        <v>2.8458800000000002</v>
      </c>
    </row>
    <row r="307" spans="1:9" s="21" customFormat="1" ht="20.100000000000001" customHeight="1" x14ac:dyDescent="0.2">
      <c r="A307" s="22">
        <v>43539</v>
      </c>
      <c r="B307" s="23" t="s">
        <v>52</v>
      </c>
      <c r="C307" s="23">
        <v>2.3903799999999999</v>
      </c>
      <c r="D307" s="23">
        <v>2.4066299999999998</v>
      </c>
      <c r="E307" s="23">
        <v>2.4817499999999999</v>
      </c>
      <c r="F307" s="23">
        <v>2.5583800000000001</v>
      </c>
      <c r="G307" s="23">
        <v>2.6252499999999999</v>
      </c>
      <c r="H307" s="23">
        <v>2.6717499999999998</v>
      </c>
      <c r="I307" s="23">
        <v>2.8405</v>
      </c>
    </row>
    <row r="308" spans="1:9" s="21" customFormat="1" ht="20.100000000000001" customHeight="1" x14ac:dyDescent="0.2">
      <c r="A308" s="22">
        <v>43542</v>
      </c>
      <c r="B308" s="23" t="s">
        <v>53</v>
      </c>
      <c r="C308" s="23">
        <v>2.3896299999999999</v>
      </c>
      <c r="D308" s="23">
        <v>2.4097499999999998</v>
      </c>
      <c r="E308" s="23">
        <v>2.4877500000000001</v>
      </c>
      <c r="F308" s="23">
        <v>2.5647500000000001</v>
      </c>
      <c r="G308" s="23">
        <v>2.6326299999999998</v>
      </c>
      <c r="H308" s="23">
        <v>2.6706300000000001</v>
      </c>
      <c r="I308" s="23">
        <v>2.8176299999999999</v>
      </c>
    </row>
    <row r="309" spans="1:9" s="21" customFormat="1" ht="20.100000000000001" customHeight="1" x14ac:dyDescent="0.2">
      <c r="A309" s="22">
        <v>43543</v>
      </c>
      <c r="B309" s="23" t="s">
        <v>49</v>
      </c>
      <c r="C309" s="23">
        <v>2.3901300000000001</v>
      </c>
      <c r="D309" s="23">
        <v>2.4123800000000002</v>
      </c>
      <c r="E309" s="23">
        <v>2.4867499999999998</v>
      </c>
      <c r="F309" s="23">
        <v>2.5581299999999998</v>
      </c>
      <c r="G309" s="23">
        <v>2.6127500000000001</v>
      </c>
      <c r="H309" s="23">
        <v>2.6741299999999999</v>
      </c>
      <c r="I309" s="23">
        <v>2.8103799999999999</v>
      </c>
    </row>
    <row r="310" spans="1:9" s="21" customFormat="1" ht="20.100000000000001" customHeight="1" x14ac:dyDescent="0.2">
      <c r="A310" s="22">
        <v>43544</v>
      </c>
      <c r="B310" s="23" t="s">
        <v>50</v>
      </c>
      <c r="C310" s="23">
        <v>2.38625</v>
      </c>
      <c r="D310" s="23">
        <v>2.4156300000000002</v>
      </c>
      <c r="E310" s="23">
        <v>2.4906299999999999</v>
      </c>
      <c r="F310" s="23">
        <v>2.5443799999999999</v>
      </c>
      <c r="G310" s="23">
        <v>2.6070000000000002</v>
      </c>
      <c r="H310" s="23">
        <v>2.6789999999999998</v>
      </c>
      <c r="I310" s="23">
        <v>2.8134999999999999</v>
      </c>
    </row>
    <row r="311" spans="1:9" s="21" customFormat="1" ht="20.100000000000001" customHeight="1" x14ac:dyDescent="0.2">
      <c r="A311" s="22">
        <v>43545</v>
      </c>
      <c r="B311" s="23" t="s">
        <v>51</v>
      </c>
      <c r="C311" s="23">
        <v>2.3872499999999999</v>
      </c>
      <c r="D311" s="23">
        <v>2.4073799999999999</v>
      </c>
      <c r="E311" s="23">
        <v>2.4855</v>
      </c>
      <c r="F311" s="23">
        <v>2.5522499999999999</v>
      </c>
      <c r="G311" s="23">
        <v>2.6015000000000001</v>
      </c>
      <c r="H311" s="23">
        <v>2.6773799999999999</v>
      </c>
      <c r="I311" s="23">
        <v>2.79413</v>
      </c>
    </row>
    <row r="312" spans="1:9" s="21" customFormat="1" ht="20.100000000000001" customHeight="1" x14ac:dyDescent="0.2">
      <c r="A312" s="22">
        <v>43546</v>
      </c>
      <c r="B312" s="23" t="s">
        <v>52</v>
      </c>
      <c r="C312" s="23">
        <v>2.3889999999999998</v>
      </c>
      <c r="D312" s="23">
        <v>2.4092500000000001</v>
      </c>
      <c r="E312" s="23">
        <v>2.4988800000000002</v>
      </c>
      <c r="F312" s="23">
        <v>2.556</v>
      </c>
      <c r="G312" s="23">
        <v>2.60988</v>
      </c>
      <c r="H312" s="23">
        <v>2.6760000000000002</v>
      </c>
      <c r="I312" s="23">
        <v>2.7869999999999999</v>
      </c>
    </row>
    <row r="313" spans="1:9" s="21" customFormat="1" ht="20.100000000000001" customHeight="1" x14ac:dyDescent="0.2">
      <c r="A313" s="22">
        <v>43549</v>
      </c>
      <c r="B313" s="23" t="s">
        <v>53</v>
      </c>
      <c r="C313" s="23">
        <v>2.3893800000000001</v>
      </c>
      <c r="D313" s="23">
        <v>2.4123800000000002</v>
      </c>
      <c r="E313" s="23">
        <v>2.4897499999999999</v>
      </c>
      <c r="F313" s="23">
        <v>2.5623800000000001</v>
      </c>
      <c r="G313" s="23">
        <v>2.6087500000000001</v>
      </c>
      <c r="H313" s="23">
        <v>2.673</v>
      </c>
      <c r="I313" s="23">
        <v>2.7457500000000001</v>
      </c>
    </row>
    <row r="314" spans="1:9" s="21" customFormat="1" ht="20.100000000000001" customHeight="1" x14ac:dyDescent="0.2">
      <c r="A314" s="22">
        <v>43550</v>
      </c>
      <c r="B314" s="23" t="s">
        <v>49</v>
      </c>
      <c r="C314" s="23">
        <v>2.3938799999999998</v>
      </c>
      <c r="D314" s="23">
        <v>2.4076300000000002</v>
      </c>
      <c r="E314" s="23">
        <v>2.4954999999999998</v>
      </c>
      <c r="F314" s="23">
        <v>2.55775</v>
      </c>
      <c r="G314" s="23">
        <v>2.5973799999999998</v>
      </c>
      <c r="H314" s="23">
        <v>2.6821299999999999</v>
      </c>
      <c r="I314" s="23">
        <v>2.7246299999999999</v>
      </c>
    </row>
    <row r="315" spans="1:9" s="21" customFormat="1" ht="20.100000000000001" customHeight="1" x14ac:dyDescent="0.2">
      <c r="A315" s="22">
        <v>43551</v>
      </c>
      <c r="B315" s="23" t="s">
        <v>50</v>
      </c>
      <c r="C315" s="23">
        <v>2.3921299999999999</v>
      </c>
      <c r="D315" s="23">
        <v>2.4095</v>
      </c>
      <c r="E315" s="23">
        <v>2.4986299999999999</v>
      </c>
      <c r="F315" s="23">
        <v>2.5590000000000002</v>
      </c>
      <c r="G315" s="23">
        <v>2.601</v>
      </c>
      <c r="H315" s="23">
        <v>2.6507499999999999</v>
      </c>
      <c r="I315" s="23">
        <v>2.6828799999999999</v>
      </c>
    </row>
    <row r="316" spans="1:9" s="21" customFormat="1" ht="20.100000000000001" customHeight="1" x14ac:dyDescent="0.2">
      <c r="A316" s="22">
        <v>43552</v>
      </c>
      <c r="B316" s="23" t="s">
        <v>51</v>
      </c>
      <c r="C316" s="23">
        <v>2.3927499999999999</v>
      </c>
      <c r="D316" s="23">
        <v>2.4049999999999998</v>
      </c>
      <c r="E316" s="23">
        <v>2.5015000000000001</v>
      </c>
      <c r="F316" s="23">
        <v>2.5523799999999999</v>
      </c>
      <c r="G316" s="23">
        <v>2.5917500000000002</v>
      </c>
      <c r="H316" s="23">
        <v>2.64113</v>
      </c>
      <c r="I316" s="23">
        <v>2.6942499999999998</v>
      </c>
    </row>
    <row r="317" spans="1:9" s="21" customFormat="1" ht="20.100000000000001" customHeight="1" x14ac:dyDescent="0.2">
      <c r="A317" s="22">
        <v>43553</v>
      </c>
      <c r="B317" s="23" t="s">
        <v>52</v>
      </c>
      <c r="C317" s="23">
        <v>2.3820000000000001</v>
      </c>
      <c r="D317" s="23">
        <v>2.423</v>
      </c>
      <c r="E317" s="23">
        <v>2.4944999999999999</v>
      </c>
      <c r="F317" s="23">
        <v>2.5638800000000002</v>
      </c>
      <c r="G317" s="23">
        <v>2.5997499999999998</v>
      </c>
      <c r="H317" s="23">
        <v>2.6595</v>
      </c>
      <c r="I317" s="23">
        <v>2.7106300000000001</v>
      </c>
    </row>
    <row r="318" spans="1:9" s="21" customFormat="1" ht="20.100000000000001" customHeight="1" x14ac:dyDescent="0.2">
      <c r="A318" s="22">
        <v>43556</v>
      </c>
      <c r="B318" s="23" t="s">
        <v>53</v>
      </c>
      <c r="C318" s="23">
        <v>2.3881299999999999</v>
      </c>
      <c r="D318" s="23">
        <v>2.4212500000000001</v>
      </c>
      <c r="E318" s="23">
        <v>2.4933800000000002</v>
      </c>
      <c r="F318" s="23">
        <v>2.5618799999999999</v>
      </c>
      <c r="G318" s="23">
        <v>2.5954999999999999</v>
      </c>
      <c r="H318" s="23">
        <v>2.66913</v>
      </c>
      <c r="I318" s="23">
        <v>2.73</v>
      </c>
    </row>
    <row r="319" spans="1:9" s="21" customFormat="1" ht="20.100000000000001" customHeight="1" x14ac:dyDescent="0.2">
      <c r="A319" s="22">
        <v>43557</v>
      </c>
      <c r="B319" s="23" t="s">
        <v>49</v>
      </c>
      <c r="C319" s="23">
        <v>2.3802500000000002</v>
      </c>
      <c r="D319" s="23">
        <v>2.4201299999999999</v>
      </c>
      <c r="E319" s="23">
        <v>2.4793799999999999</v>
      </c>
      <c r="F319" s="23">
        <v>2.5594999999999999</v>
      </c>
      <c r="G319" s="23">
        <v>2.6023800000000001</v>
      </c>
      <c r="H319" s="23">
        <v>2.65063</v>
      </c>
      <c r="I319" s="23">
        <v>2.73325</v>
      </c>
    </row>
    <row r="320" spans="1:9" s="21" customFormat="1" ht="20.100000000000001" customHeight="1" x14ac:dyDescent="0.2">
      <c r="A320" s="22">
        <v>43558</v>
      </c>
      <c r="B320" s="23" t="s">
        <v>50</v>
      </c>
      <c r="C320" s="23">
        <v>2.3861300000000001</v>
      </c>
      <c r="D320" s="23">
        <v>2.4129999999999998</v>
      </c>
      <c r="E320" s="23">
        <v>2.4771299999999998</v>
      </c>
      <c r="F320" s="23">
        <v>2.5607500000000001</v>
      </c>
      <c r="G320" s="23">
        <v>2.59775</v>
      </c>
      <c r="H320" s="23">
        <v>2.6551300000000002</v>
      </c>
      <c r="I320" s="23">
        <v>2.7494999999999998</v>
      </c>
    </row>
    <row r="321" spans="1:9" s="21" customFormat="1" ht="20.100000000000001" customHeight="1" x14ac:dyDescent="0.2">
      <c r="A321" s="22">
        <v>43559</v>
      </c>
      <c r="B321" s="23" t="s">
        <v>51</v>
      </c>
      <c r="C321" s="23">
        <v>2.3941300000000001</v>
      </c>
      <c r="D321" s="23">
        <v>2.4092500000000001</v>
      </c>
      <c r="E321" s="23">
        <v>2.4735</v>
      </c>
      <c r="F321" s="23">
        <v>2.5542500000000001</v>
      </c>
      <c r="G321" s="23">
        <v>2.5886300000000002</v>
      </c>
      <c r="H321" s="23">
        <v>2.64588</v>
      </c>
      <c r="I321" s="23">
        <v>2.7364999999999999</v>
      </c>
    </row>
    <row r="322" spans="1:9" s="21" customFormat="1" ht="20.100000000000001" customHeight="1" x14ac:dyDescent="0.2">
      <c r="A322" s="22">
        <v>43560</v>
      </c>
      <c r="B322" s="23" t="s">
        <v>52</v>
      </c>
      <c r="C322" s="23">
        <v>2.3937499999999998</v>
      </c>
      <c r="D322" s="23">
        <v>2.4264999999999999</v>
      </c>
      <c r="E322" s="23">
        <v>2.4716300000000002</v>
      </c>
      <c r="F322" s="23">
        <v>2.5442499999999999</v>
      </c>
      <c r="G322" s="23">
        <v>2.59213</v>
      </c>
      <c r="H322" s="23">
        <v>2.6446299999999998</v>
      </c>
      <c r="I322" s="23">
        <v>2.7511299999999999</v>
      </c>
    </row>
    <row r="323" spans="1:9" s="21" customFormat="1" ht="20.100000000000001" customHeight="1" x14ac:dyDescent="0.2">
      <c r="A323" s="22">
        <v>43563</v>
      </c>
      <c r="B323" s="23" t="s">
        <v>53</v>
      </c>
      <c r="C323" s="23">
        <v>2.39175</v>
      </c>
      <c r="D323" s="23">
        <v>2.4137499999999998</v>
      </c>
      <c r="E323" s="23">
        <v>2.4812500000000002</v>
      </c>
      <c r="F323" s="23">
        <v>2.5476299999999998</v>
      </c>
      <c r="G323" s="23">
        <v>2.5840000000000001</v>
      </c>
      <c r="H323" s="23">
        <v>2.6316299999999999</v>
      </c>
      <c r="I323" s="23">
        <v>2.7498800000000001</v>
      </c>
    </row>
    <row r="324" spans="1:9" s="21" customFormat="1" ht="20.100000000000001" customHeight="1" x14ac:dyDescent="0.2">
      <c r="A324" s="22">
        <v>43564</v>
      </c>
      <c r="B324" s="23" t="s">
        <v>49</v>
      </c>
      <c r="C324" s="23">
        <v>2.3929999999999998</v>
      </c>
      <c r="D324" s="23">
        <v>2.4121299999999999</v>
      </c>
      <c r="E324" s="23">
        <v>2.484</v>
      </c>
      <c r="F324" s="23">
        <v>2.5526300000000002</v>
      </c>
      <c r="G324" s="23">
        <v>2.5812499999999998</v>
      </c>
      <c r="H324" s="23">
        <v>2.6284999999999998</v>
      </c>
      <c r="I324" s="23">
        <v>2.75413</v>
      </c>
    </row>
    <row r="325" spans="1:9" s="21" customFormat="1" ht="20.100000000000001" customHeight="1" x14ac:dyDescent="0.2">
      <c r="A325" s="22">
        <v>43565</v>
      </c>
      <c r="B325" s="23" t="s">
        <v>50</v>
      </c>
      <c r="C325" s="23">
        <v>2.3885000000000001</v>
      </c>
      <c r="D325" s="23">
        <v>2.41425</v>
      </c>
      <c r="E325" s="23">
        <v>2.4820000000000002</v>
      </c>
      <c r="F325" s="23">
        <v>2.5485000000000002</v>
      </c>
      <c r="G325" s="23">
        <v>2.6034999999999999</v>
      </c>
      <c r="H325" s="23">
        <v>2.6269999999999998</v>
      </c>
      <c r="I325" s="23">
        <v>2.7401300000000002</v>
      </c>
    </row>
    <row r="326" spans="1:9" s="21" customFormat="1" ht="20.100000000000001" customHeight="1" x14ac:dyDescent="0.2">
      <c r="A326" s="22">
        <v>43566</v>
      </c>
      <c r="B326" s="23" t="s">
        <v>51</v>
      </c>
      <c r="C326" s="23">
        <v>2.3885000000000001</v>
      </c>
      <c r="D326" s="23">
        <v>2.4077500000000001</v>
      </c>
      <c r="E326" s="23">
        <v>2.4726300000000001</v>
      </c>
      <c r="F326" s="23">
        <v>2.5367500000000001</v>
      </c>
      <c r="G326" s="23">
        <v>2.5967500000000001</v>
      </c>
      <c r="H326" s="23">
        <v>2.6312500000000001</v>
      </c>
      <c r="I326" s="23">
        <v>2.7341299999999999</v>
      </c>
    </row>
    <row r="327" spans="1:9" s="21" customFormat="1" ht="20.100000000000001" customHeight="1" x14ac:dyDescent="0.2">
      <c r="A327" s="22">
        <v>43567</v>
      </c>
      <c r="B327" s="23" t="s">
        <v>52</v>
      </c>
      <c r="C327" s="23">
        <v>2.3922500000000002</v>
      </c>
      <c r="D327" s="23">
        <v>2.4117500000000001</v>
      </c>
      <c r="E327" s="23">
        <v>2.4773800000000001</v>
      </c>
      <c r="F327" s="23">
        <v>2.5426299999999999</v>
      </c>
      <c r="G327" s="23">
        <v>2.601</v>
      </c>
      <c r="H327" s="23">
        <v>2.63775</v>
      </c>
      <c r="I327" s="23">
        <v>2.74838</v>
      </c>
    </row>
    <row r="328" spans="1:9" s="21" customFormat="1" ht="20.100000000000001" customHeight="1" x14ac:dyDescent="0.2">
      <c r="A328" s="22">
        <v>43570</v>
      </c>
      <c r="B328" s="23" t="s">
        <v>53</v>
      </c>
      <c r="C328" s="23">
        <v>2.39263</v>
      </c>
      <c r="D328" s="23">
        <v>2.4104999999999999</v>
      </c>
      <c r="E328" s="23">
        <v>2.4738799999999999</v>
      </c>
      <c r="F328" s="23">
        <v>2.5348799999999998</v>
      </c>
      <c r="G328" s="23">
        <v>2.5880000000000001</v>
      </c>
      <c r="H328" s="23">
        <v>2.6376300000000001</v>
      </c>
      <c r="I328" s="23">
        <v>2.75488</v>
      </c>
    </row>
    <row r="329" spans="1:9" s="21" customFormat="1" ht="20.100000000000001" customHeight="1" x14ac:dyDescent="0.2">
      <c r="A329" s="22">
        <v>43571</v>
      </c>
      <c r="B329" s="23" t="s">
        <v>49</v>
      </c>
      <c r="C329" s="23">
        <v>2.3891300000000002</v>
      </c>
      <c r="D329" s="23">
        <v>2.4129999999999998</v>
      </c>
      <c r="E329" s="23">
        <v>2.4797500000000001</v>
      </c>
      <c r="F329" s="23">
        <v>2.5382500000000001</v>
      </c>
      <c r="G329" s="23">
        <v>2.6008800000000001</v>
      </c>
      <c r="H329" s="23">
        <v>2.6313800000000001</v>
      </c>
      <c r="I329" s="23">
        <v>2.7552500000000002</v>
      </c>
    </row>
    <row r="330" spans="1:9" s="21" customFormat="1" ht="20.100000000000001" customHeight="1" x14ac:dyDescent="0.2">
      <c r="A330" s="22">
        <v>43572</v>
      </c>
      <c r="B330" s="23" t="s">
        <v>50</v>
      </c>
      <c r="C330" s="23">
        <v>2.3856299999999999</v>
      </c>
      <c r="D330" s="23">
        <v>2.4135</v>
      </c>
      <c r="E330" s="23">
        <v>2.4873799999999999</v>
      </c>
      <c r="F330" s="23">
        <v>2.5436299999999998</v>
      </c>
      <c r="G330" s="23">
        <v>2.5914999999999999</v>
      </c>
      <c r="H330" s="23">
        <v>2.6336300000000001</v>
      </c>
      <c r="I330" s="23">
        <v>2.7618800000000001</v>
      </c>
    </row>
    <row r="331" spans="1:9" s="21" customFormat="1" ht="20.100000000000001" customHeight="1" x14ac:dyDescent="0.2">
      <c r="A331" s="22">
        <v>43573</v>
      </c>
      <c r="B331" s="23" t="s">
        <v>51</v>
      </c>
      <c r="C331" s="23">
        <v>2.39113</v>
      </c>
      <c r="D331" s="23">
        <v>2.411</v>
      </c>
      <c r="E331" s="23">
        <v>2.48088</v>
      </c>
      <c r="F331" s="23">
        <v>2.5411299999999999</v>
      </c>
      <c r="G331" s="23">
        <v>2.5811299999999999</v>
      </c>
      <c r="H331" s="23">
        <v>2.629</v>
      </c>
      <c r="I331" s="23">
        <v>2.7463799999999998</v>
      </c>
    </row>
    <row r="332" spans="1:9" s="21" customFormat="1" ht="20.100000000000001" customHeight="1" x14ac:dyDescent="0.2">
      <c r="A332" s="22">
        <v>43578</v>
      </c>
      <c r="B332" s="23" t="s">
        <v>49</v>
      </c>
      <c r="C332" s="23">
        <v>2.4027500000000002</v>
      </c>
      <c r="D332" s="23">
        <v>2.4175</v>
      </c>
      <c r="E332" s="23">
        <v>2.4766300000000001</v>
      </c>
      <c r="F332" s="23">
        <v>2.5306299999999999</v>
      </c>
      <c r="G332" s="23">
        <v>2.5802499999999999</v>
      </c>
      <c r="H332" s="23">
        <v>2.6198800000000002</v>
      </c>
      <c r="I332" s="23">
        <v>2.73563</v>
      </c>
    </row>
    <row r="333" spans="1:9" s="21" customFormat="1" ht="20.100000000000001" customHeight="1" x14ac:dyDescent="0.2">
      <c r="A333" s="22">
        <v>43579</v>
      </c>
      <c r="B333" s="23" t="s">
        <v>50</v>
      </c>
      <c r="C333" s="23">
        <v>2.3941300000000001</v>
      </c>
      <c r="D333" s="23">
        <v>2.4243800000000002</v>
      </c>
      <c r="E333" s="23">
        <v>2.4833799999999999</v>
      </c>
      <c r="F333" s="23">
        <v>2.5416300000000001</v>
      </c>
      <c r="G333" s="23">
        <v>2.5863800000000001</v>
      </c>
      <c r="H333" s="23">
        <v>2.6197499999999998</v>
      </c>
      <c r="I333" s="23">
        <v>2.7251300000000001</v>
      </c>
    </row>
    <row r="334" spans="1:9" s="21" customFormat="1" ht="20.100000000000001" customHeight="1" x14ac:dyDescent="0.2">
      <c r="A334" s="22">
        <v>43580</v>
      </c>
      <c r="B334" s="23" t="s">
        <v>51</v>
      </c>
      <c r="C334" s="23">
        <v>2.3993799999999998</v>
      </c>
      <c r="D334" s="23">
        <v>2.4159999999999999</v>
      </c>
      <c r="E334" s="23">
        <v>2.4784999999999999</v>
      </c>
      <c r="F334" s="23">
        <v>2.5453800000000002</v>
      </c>
      <c r="G334" s="23">
        <v>2.5823800000000001</v>
      </c>
      <c r="H334" s="23">
        <v>2.6124999999999998</v>
      </c>
      <c r="I334" s="23">
        <v>2.7162500000000001</v>
      </c>
    </row>
    <row r="335" spans="1:9" s="21" customFormat="1" ht="20.100000000000001" customHeight="1" x14ac:dyDescent="0.2">
      <c r="A335" s="22">
        <v>43581</v>
      </c>
      <c r="B335" s="23" t="s">
        <v>52</v>
      </c>
      <c r="C335" s="23">
        <v>2.4</v>
      </c>
      <c r="D335" s="23">
        <v>2.4308800000000002</v>
      </c>
      <c r="E335" s="23">
        <v>2.4831300000000001</v>
      </c>
      <c r="F335" s="23">
        <v>2.5413800000000002</v>
      </c>
      <c r="G335" s="23">
        <v>2.5827499999999999</v>
      </c>
      <c r="H335" s="23">
        <v>2.6157499999999998</v>
      </c>
      <c r="I335" s="23">
        <v>2.7174999999999998</v>
      </c>
    </row>
    <row r="336" spans="1:9" s="21" customFormat="1" ht="20.100000000000001" customHeight="1" x14ac:dyDescent="0.2">
      <c r="A336" s="22">
        <v>43584</v>
      </c>
      <c r="B336" s="23" t="s">
        <v>53</v>
      </c>
      <c r="C336" s="23">
        <v>2.3897499999999998</v>
      </c>
      <c r="D336" s="23">
        <v>2.427</v>
      </c>
      <c r="E336" s="23">
        <v>2.4858799999999999</v>
      </c>
      <c r="F336" s="23">
        <v>2.5301300000000002</v>
      </c>
      <c r="G336" s="23">
        <v>2.5790000000000002</v>
      </c>
      <c r="H336" s="23">
        <v>2.6120000000000001</v>
      </c>
      <c r="I336" s="23">
        <v>2.7130000000000001</v>
      </c>
    </row>
    <row r="337" spans="1:9" s="21" customFormat="1" ht="20.100000000000001" customHeight="1" x14ac:dyDescent="0.2">
      <c r="A337" s="22">
        <v>43585</v>
      </c>
      <c r="B337" s="23" t="s">
        <v>49</v>
      </c>
      <c r="C337" s="23">
        <v>2.37913</v>
      </c>
      <c r="D337" s="23">
        <v>2.4253800000000001</v>
      </c>
      <c r="E337" s="23">
        <v>2.4805000000000001</v>
      </c>
      <c r="F337" s="23">
        <v>2.5262500000000001</v>
      </c>
      <c r="G337" s="23">
        <v>2.5756299999999999</v>
      </c>
      <c r="H337" s="23">
        <v>2.6219999999999999</v>
      </c>
      <c r="I337" s="23">
        <v>2.7168800000000002</v>
      </c>
    </row>
    <row r="338" spans="1:9" s="21" customFormat="1" ht="20.100000000000001" customHeight="1" x14ac:dyDescent="0.2">
      <c r="A338" s="22">
        <v>43586</v>
      </c>
      <c r="B338" s="23" t="s">
        <v>50</v>
      </c>
      <c r="C338" s="23">
        <v>2.39188</v>
      </c>
      <c r="D338" s="23">
        <v>2.4266299999999998</v>
      </c>
      <c r="E338" s="23">
        <v>2.48325</v>
      </c>
      <c r="F338" s="23">
        <v>2.5243799999999998</v>
      </c>
      <c r="G338" s="23">
        <v>2.5754999999999999</v>
      </c>
      <c r="H338" s="23">
        <v>2.6114999999999999</v>
      </c>
      <c r="I338" s="23">
        <v>2.7103799999999998</v>
      </c>
    </row>
    <row r="339" spans="1:9" s="21" customFormat="1" ht="20.100000000000001" customHeight="1" x14ac:dyDescent="0.2">
      <c r="A339" s="22">
        <v>43587</v>
      </c>
      <c r="B339" s="23" t="s">
        <v>51</v>
      </c>
      <c r="C339" s="23">
        <v>2.3731300000000002</v>
      </c>
      <c r="D339" s="23">
        <v>2.39663</v>
      </c>
      <c r="E339" s="23">
        <v>2.46713</v>
      </c>
      <c r="F339" s="23">
        <v>2.5068800000000002</v>
      </c>
      <c r="G339" s="23">
        <v>2.5651299999999999</v>
      </c>
      <c r="H339" s="23">
        <v>2.6385000000000001</v>
      </c>
      <c r="I339" s="23">
        <v>2.7368800000000002</v>
      </c>
    </row>
    <row r="340" spans="1:9" s="21" customFormat="1" ht="20.100000000000001" customHeight="1" x14ac:dyDescent="0.2">
      <c r="A340" s="22">
        <v>43588</v>
      </c>
      <c r="B340" s="23" t="s">
        <v>52</v>
      </c>
      <c r="C340" s="23">
        <v>2.3778800000000002</v>
      </c>
      <c r="D340" s="23">
        <v>2.4108800000000001</v>
      </c>
      <c r="E340" s="23">
        <v>2.4666299999999999</v>
      </c>
      <c r="F340" s="23">
        <v>2.5083799999999998</v>
      </c>
      <c r="G340" s="23">
        <v>2.5598800000000002</v>
      </c>
      <c r="H340" s="23">
        <v>2.6173799999999998</v>
      </c>
      <c r="I340" s="23">
        <v>2.7454999999999998</v>
      </c>
    </row>
    <row r="341" spans="1:9" s="21" customFormat="1" ht="20.100000000000001" customHeight="1" x14ac:dyDescent="0.2">
      <c r="A341" s="22">
        <v>43592</v>
      </c>
      <c r="B341" s="23" t="s">
        <v>49</v>
      </c>
      <c r="C341" s="23">
        <v>2.36313</v>
      </c>
      <c r="D341" s="23">
        <v>2.4043800000000002</v>
      </c>
      <c r="E341" s="23">
        <v>2.4627500000000002</v>
      </c>
      <c r="F341" s="23">
        <v>2.5147499999999998</v>
      </c>
      <c r="G341" s="23">
        <v>2.5619999999999998</v>
      </c>
      <c r="H341" s="23">
        <v>2.5943800000000001</v>
      </c>
      <c r="I341" s="23">
        <v>2.7213799999999999</v>
      </c>
    </row>
    <row r="342" spans="1:9" s="21" customFormat="1" ht="20.100000000000001" customHeight="1" x14ac:dyDescent="0.2">
      <c r="A342" s="22">
        <v>43593</v>
      </c>
      <c r="B342" s="23" t="s">
        <v>50</v>
      </c>
      <c r="C342" s="23">
        <v>2.3627500000000001</v>
      </c>
      <c r="D342" s="23">
        <v>2.3955000000000002</v>
      </c>
      <c r="E342" s="23">
        <v>2.4513799999999999</v>
      </c>
      <c r="F342" s="23">
        <v>2.5009999999999999</v>
      </c>
      <c r="G342" s="23">
        <v>2.5451299999999999</v>
      </c>
      <c r="H342" s="23">
        <v>2.5822500000000002</v>
      </c>
      <c r="I342" s="23">
        <v>2.7137500000000001</v>
      </c>
    </row>
    <row r="343" spans="1:9" s="21" customFormat="1" ht="20.100000000000001" customHeight="1" x14ac:dyDescent="0.2">
      <c r="A343" s="22">
        <v>43594</v>
      </c>
      <c r="B343" s="23" t="s">
        <v>51</v>
      </c>
      <c r="C343" s="23">
        <v>2.3588800000000001</v>
      </c>
      <c r="D343" s="23">
        <v>2.3906299999999998</v>
      </c>
      <c r="E343" s="23">
        <v>2.4533800000000001</v>
      </c>
      <c r="F343" s="23">
        <v>2.4963799999999998</v>
      </c>
      <c r="G343" s="23">
        <v>2.53525</v>
      </c>
      <c r="H343" s="23">
        <v>2.5816300000000001</v>
      </c>
      <c r="I343" s="23">
        <v>2.7021299999999999</v>
      </c>
    </row>
    <row r="344" spans="1:9" s="21" customFormat="1" ht="20.100000000000001" customHeight="1" x14ac:dyDescent="0.2">
      <c r="A344" s="22">
        <v>43595</v>
      </c>
      <c r="B344" s="23" t="s">
        <v>52</v>
      </c>
      <c r="C344" s="23">
        <v>2.3563800000000001</v>
      </c>
      <c r="D344" s="23">
        <v>2.3885000000000001</v>
      </c>
      <c r="E344" s="23">
        <v>2.4489999999999998</v>
      </c>
      <c r="F344" s="23">
        <v>2.48963</v>
      </c>
      <c r="G344" s="23">
        <v>2.5278800000000001</v>
      </c>
      <c r="H344" s="23">
        <v>2.5870000000000002</v>
      </c>
      <c r="I344" s="23">
        <v>2.6933799999999999</v>
      </c>
    </row>
    <row r="345" spans="1:9" s="21" customFormat="1" ht="20.100000000000001" customHeight="1" x14ac:dyDescent="0.2">
      <c r="A345" s="22">
        <v>43598</v>
      </c>
      <c r="B345" s="23" t="s">
        <v>53</v>
      </c>
      <c r="C345" s="23">
        <v>2.3451300000000002</v>
      </c>
      <c r="D345" s="23">
        <v>2.3868800000000001</v>
      </c>
      <c r="E345" s="23">
        <v>2.4396300000000002</v>
      </c>
      <c r="F345" s="23">
        <v>2.49525</v>
      </c>
      <c r="G345" s="23">
        <v>2.5179999999999998</v>
      </c>
      <c r="H345" s="23">
        <v>2.5876299999999999</v>
      </c>
      <c r="I345" s="23">
        <v>2.67225</v>
      </c>
    </row>
    <row r="346" spans="1:9" s="21" customFormat="1" ht="20.100000000000001" customHeight="1" x14ac:dyDescent="0.2">
      <c r="A346" s="22">
        <v>43599</v>
      </c>
      <c r="B346" s="23" t="s">
        <v>49</v>
      </c>
      <c r="C346" s="23">
        <v>2.3433799999999998</v>
      </c>
      <c r="D346" s="23">
        <v>2.3881299999999999</v>
      </c>
      <c r="E346" s="23">
        <v>2.43763</v>
      </c>
      <c r="F346" s="23">
        <v>2.4986299999999999</v>
      </c>
      <c r="G346" s="23">
        <v>2.5245000000000002</v>
      </c>
      <c r="H346" s="23">
        <v>2.5508799999999998</v>
      </c>
      <c r="I346" s="23">
        <v>2.6392500000000001</v>
      </c>
    </row>
    <row r="347" spans="1:9" s="21" customFormat="1" ht="20.100000000000001" customHeight="1" x14ac:dyDescent="0.2">
      <c r="A347" s="22">
        <v>43600</v>
      </c>
      <c r="B347" s="23" t="s">
        <v>50</v>
      </c>
      <c r="C347" s="23">
        <v>2.3491300000000002</v>
      </c>
      <c r="D347" s="23">
        <v>2.3811300000000002</v>
      </c>
      <c r="E347" s="23">
        <v>2.4323800000000002</v>
      </c>
      <c r="F347" s="23">
        <v>2.4957500000000001</v>
      </c>
      <c r="G347" s="23">
        <v>2.5251299999999999</v>
      </c>
      <c r="H347" s="23">
        <v>2.5508799999999998</v>
      </c>
      <c r="I347" s="23">
        <v>2.6324999999999998</v>
      </c>
    </row>
    <row r="348" spans="1:9" s="21" customFormat="1" ht="20.100000000000001" customHeight="1" x14ac:dyDescent="0.2">
      <c r="A348" s="22">
        <v>43601</v>
      </c>
      <c r="B348" s="23" t="s">
        <v>51</v>
      </c>
      <c r="C348" s="23">
        <v>2.3593799999999998</v>
      </c>
      <c r="D348" s="23">
        <v>2.38463</v>
      </c>
      <c r="E348" s="23">
        <v>2.4406300000000001</v>
      </c>
      <c r="F348" s="23">
        <v>2.4891299999999998</v>
      </c>
      <c r="G348" s="23">
        <v>2.5196299999999998</v>
      </c>
      <c r="H348" s="23">
        <v>2.5514999999999999</v>
      </c>
      <c r="I348" s="23">
        <v>2.6142500000000002</v>
      </c>
    </row>
    <row r="349" spans="1:9" s="21" customFormat="1" ht="20.100000000000001" customHeight="1" x14ac:dyDescent="0.2">
      <c r="A349" s="22">
        <v>43602</v>
      </c>
      <c r="B349" s="23" t="s">
        <v>52</v>
      </c>
      <c r="C349" s="23">
        <v>2.35575</v>
      </c>
      <c r="D349" s="23">
        <v>2.3959999999999999</v>
      </c>
      <c r="E349" s="23">
        <v>2.4418799999999998</v>
      </c>
      <c r="F349" s="23">
        <v>2.4878800000000001</v>
      </c>
      <c r="G349" s="23">
        <v>2.5218799999999999</v>
      </c>
      <c r="H349" s="23">
        <v>2.55375</v>
      </c>
      <c r="I349" s="23">
        <v>2.6353800000000001</v>
      </c>
    </row>
    <row r="350" spans="1:9" s="21" customFormat="1" ht="20.100000000000001" customHeight="1" x14ac:dyDescent="0.2">
      <c r="A350" s="22">
        <v>43605</v>
      </c>
      <c r="B350" s="23" t="s">
        <v>53</v>
      </c>
      <c r="C350" s="23">
        <v>2.3593799999999998</v>
      </c>
      <c r="D350" s="23">
        <v>2.3941300000000001</v>
      </c>
      <c r="E350" s="23">
        <v>2.4359999999999999</v>
      </c>
      <c r="F350" s="23">
        <v>2.4882499999999999</v>
      </c>
      <c r="G350" s="23">
        <v>2.52338</v>
      </c>
      <c r="H350" s="23">
        <v>2.5597500000000002</v>
      </c>
      <c r="I350" s="23">
        <v>2.6468799999999999</v>
      </c>
    </row>
    <row r="351" spans="1:9" s="21" customFormat="1" ht="20.100000000000001" customHeight="1" x14ac:dyDescent="0.2">
      <c r="A351" s="22">
        <v>43606</v>
      </c>
      <c r="B351" s="23" t="s">
        <v>49</v>
      </c>
      <c r="C351" s="23">
        <v>2.3553799999999998</v>
      </c>
      <c r="D351" s="23">
        <v>2.39513</v>
      </c>
      <c r="E351" s="23">
        <v>2.42963</v>
      </c>
      <c r="F351" s="23">
        <v>2.4932500000000002</v>
      </c>
      <c r="G351" s="23">
        <v>2.5234999999999999</v>
      </c>
      <c r="H351" s="23">
        <v>2.56325</v>
      </c>
      <c r="I351" s="23">
        <v>2.6536300000000002</v>
      </c>
    </row>
    <row r="352" spans="1:9" s="21" customFormat="1" ht="20.100000000000001" customHeight="1" x14ac:dyDescent="0.2">
      <c r="A352" s="22">
        <v>43607</v>
      </c>
      <c r="B352" s="23" t="s">
        <v>50</v>
      </c>
      <c r="C352" s="23">
        <v>2.3544999999999998</v>
      </c>
      <c r="D352" s="23">
        <v>2.39425</v>
      </c>
      <c r="E352" s="23">
        <v>2.4369999999999998</v>
      </c>
      <c r="F352" s="23">
        <v>2.4972500000000002</v>
      </c>
      <c r="G352" s="23">
        <v>2.52475</v>
      </c>
      <c r="H352" s="23">
        <v>2.57063</v>
      </c>
      <c r="I352" s="23">
        <v>2.6656300000000002</v>
      </c>
    </row>
    <row r="353" spans="1:9" s="21" customFormat="1" ht="20.100000000000001" customHeight="1" x14ac:dyDescent="0.2">
      <c r="A353" s="22">
        <v>43608</v>
      </c>
      <c r="B353" s="23" t="s">
        <v>51</v>
      </c>
      <c r="C353" s="23">
        <v>2.3562500000000002</v>
      </c>
      <c r="D353" s="23">
        <v>2.3962500000000002</v>
      </c>
      <c r="E353" s="23">
        <v>2.4297499999999999</v>
      </c>
      <c r="F353" s="23">
        <v>2.496</v>
      </c>
      <c r="G353" s="23">
        <v>2.5206300000000001</v>
      </c>
      <c r="H353" s="23">
        <v>2.56013</v>
      </c>
      <c r="I353" s="23">
        <v>2.6447500000000002</v>
      </c>
    </row>
    <row r="354" spans="1:9" s="21" customFormat="1" ht="20.100000000000001" customHeight="1" x14ac:dyDescent="0.2">
      <c r="A354" s="22">
        <v>43609</v>
      </c>
      <c r="B354" s="23" t="s">
        <v>52</v>
      </c>
      <c r="C354" s="23">
        <v>2.3565</v>
      </c>
      <c r="D354" s="23">
        <v>2.3965000000000001</v>
      </c>
      <c r="E354" s="23">
        <v>2.4281299999999999</v>
      </c>
      <c r="F354" s="23">
        <v>2.4866299999999999</v>
      </c>
      <c r="G354" s="23">
        <v>2.52488</v>
      </c>
      <c r="H354" s="23">
        <v>2.5486300000000002</v>
      </c>
      <c r="I354" s="23">
        <v>2.6190000000000002</v>
      </c>
    </row>
    <row r="355" spans="1:9" s="21" customFormat="1" ht="20.100000000000001" customHeight="1" x14ac:dyDescent="0.2">
      <c r="A355" s="22">
        <v>43613</v>
      </c>
      <c r="B355" s="23" t="s">
        <v>49</v>
      </c>
      <c r="C355" s="23">
        <v>2.3538800000000002</v>
      </c>
      <c r="D355" s="23">
        <v>2.3908800000000001</v>
      </c>
      <c r="E355" s="23">
        <v>2.4293800000000001</v>
      </c>
      <c r="F355" s="23">
        <v>2.4826299999999999</v>
      </c>
      <c r="G355" s="23">
        <v>2.5237500000000002</v>
      </c>
      <c r="H355" s="23">
        <v>2.5412499999999998</v>
      </c>
      <c r="I355" s="23">
        <v>2.5998800000000002</v>
      </c>
    </row>
    <row r="356" spans="1:9" s="21" customFormat="1" ht="20.100000000000001" customHeight="1" x14ac:dyDescent="0.2">
      <c r="A356" s="22">
        <v>43614</v>
      </c>
      <c r="B356" s="23" t="s">
        <v>50</v>
      </c>
      <c r="C356" s="23">
        <v>2.3559999999999999</v>
      </c>
      <c r="D356" s="23">
        <v>2.3873799999999998</v>
      </c>
      <c r="E356" s="23">
        <v>2.4384999999999999</v>
      </c>
      <c r="F356" s="23">
        <v>2.4811299999999998</v>
      </c>
      <c r="G356" s="23">
        <v>2.5217499999999999</v>
      </c>
      <c r="H356" s="23">
        <v>2.5243799999999998</v>
      </c>
      <c r="I356" s="23">
        <v>2.5707499999999999</v>
      </c>
    </row>
    <row r="357" spans="1:9" s="21" customFormat="1" ht="20.100000000000001" customHeight="1" x14ac:dyDescent="0.2">
      <c r="A357" s="22">
        <v>43615</v>
      </c>
      <c r="B357" s="23" t="s">
        <v>51</v>
      </c>
      <c r="C357" s="23">
        <v>2.3577499999999998</v>
      </c>
      <c r="D357" s="23">
        <v>2.3980000000000001</v>
      </c>
      <c r="E357" s="23">
        <v>2.44</v>
      </c>
      <c r="F357" s="23">
        <v>2.4801299999999999</v>
      </c>
      <c r="G357" s="23">
        <v>2.5202499999999999</v>
      </c>
      <c r="H357" s="23">
        <v>2.5437500000000002</v>
      </c>
      <c r="I357" s="23">
        <v>2.5781299999999998</v>
      </c>
    </row>
    <row r="358" spans="1:9" s="21" customFormat="1" ht="20.100000000000001" customHeight="1" x14ac:dyDescent="0.2">
      <c r="A358" s="22">
        <v>43616</v>
      </c>
      <c r="B358" s="23" t="s">
        <v>52</v>
      </c>
      <c r="C358" s="23">
        <v>2.3544999999999998</v>
      </c>
      <c r="D358" s="23">
        <v>2.3892500000000001</v>
      </c>
      <c r="E358" s="23">
        <v>2.4304999999999999</v>
      </c>
      <c r="F358" s="23">
        <v>2.4740000000000002</v>
      </c>
      <c r="G358" s="23">
        <v>2.5024999999999999</v>
      </c>
      <c r="H358" s="23">
        <v>2.5166300000000001</v>
      </c>
      <c r="I358" s="23">
        <v>2.5102500000000001</v>
      </c>
    </row>
    <row r="359" spans="1:9" s="21" customFormat="1" ht="20.100000000000001" customHeight="1" x14ac:dyDescent="0.2">
      <c r="A359" s="22">
        <v>43619</v>
      </c>
      <c r="B359" s="23" t="s">
        <v>53</v>
      </c>
      <c r="C359" s="23">
        <v>2.3607499999999999</v>
      </c>
      <c r="D359" s="23">
        <v>2.3823799999999999</v>
      </c>
      <c r="E359" s="23">
        <v>2.4298799999999998</v>
      </c>
      <c r="F359" s="23">
        <v>2.4552499999999999</v>
      </c>
      <c r="G359" s="23">
        <v>2.4784999999999999</v>
      </c>
      <c r="H359" s="23">
        <v>2.4554999999999998</v>
      </c>
      <c r="I359" s="23">
        <v>2.4133800000000001</v>
      </c>
    </row>
    <row r="360" spans="1:9" s="21" customFormat="1" ht="20.100000000000001" customHeight="1" x14ac:dyDescent="0.2">
      <c r="A360" s="22">
        <v>43620</v>
      </c>
      <c r="B360" s="23" t="s">
        <v>49</v>
      </c>
      <c r="C360" s="23">
        <v>2.36</v>
      </c>
      <c r="D360" s="23">
        <v>2.3777499999999998</v>
      </c>
      <c r="E360" s="23">
        <v>2.4208799999999999</v>
      </c>
      <c r="F360" s="23">
        <v>2.4575</v>
      </c>
      <c r="G360" s="23">
        <v>2.47438</v>
      </c>
      <c r="H360" s="23">
        <v>2.4242499999999998</v>
      </c>
      <c r="I360" s="23">
        <v>2.4052500000000001</v>
      </c>
    </row>
    <row r="361" spans="1:9" s="21" customFormat="1" ht="20.100000000000001" customHeight="1" x14ac:dyDescent="0.2">
      <c r="A361" s="22">
        <v>43621</v>
      </c>
      <c r="B361" s="23" t="s">
        <v>50</v>
      </c>
      <c r="C361" s="23">
        <v>2.34538</v>
      </c>
      <c r="D361" s="23">
        <v>2.3784999999999998</v>
      </c>
      <c r="E361" s="23">
        <v>2.4184999999999999</v>
      </c>
      <c r="F361" s="23">
        <v>2.4563799999999998</v>
      </c>
      <c r="G361" s="23">
        <v>2.4716300000000002</v>
      </c>
      <c r="H361" s="23">
        <v>2.4083800000000002</v>
      </c>
      <c r="I361" s="23">
        <v>2.3824999999999998</v>
      </c>
    </row>
    <row r="362" spans="1:9" s="21" customFormat="1" ht="20.100000000000001" customHeight="1" x14ac:dyDescent="0.2">
      <c r="A362" s="22">
        <v>43622</v>
      </c>
      <c r="B362" s="23" t="s">
        <v>51</v>
      </c>
      <c r="C362" s="23">
        <v>2.3460000000000001</v>
      </c>
      <c r="D362" s="23">
        <v>2.3784999999999998</v>
      </c>
      <c r="E362" s="23">
        <v>2.4116300000000002</v>
      </c>
      <c r="F362" s="23">
        <v>2.43838</v>
      </c>
      <c r="G362" s="23">
        <v>2.4529999999999998</v>
      </c>
      <c r="H362" s="23">
        <v>2.3778800000000002</v>
      </c>
      <c r="I362" s="23">
        <v>2.3476300000000001</v>
      </c>
    </row>
    <row r="363" spans="1:9" s="21" customFormat="1" ht="20.100000000000001" customHeight="1" x14ac:dyDescent="0.2">
      <c r="A363" s="22">
        <v>43623</v>
      </c>
      <c r="B363" s="23" t="s">
        <v>52</v>
      </c>
      <c r="C363" s="23">
        <v>2.35175</v>
      </c>
      <c r="D363" s="23">
        <v>2.3763800000000002</v>
      </c>
      <c r="E363" s="23">
        <v>2.4121299999999999</v>
      </c>
      <c r="F363" s="23">
        <v>2.4301300000000001</v>
      </c>
      <c r="G363" s="23">
        <v>2.4506299999999999</v>
      </c>
      <c r="H363" s="23">
        <v>2.37175</v>
      </c>
      <c r="I363" s="23">
        <v>2.34613</v>
      </c>
    </row>
    <row r="364" spans="1:9" s="21" customFormat="1" ht="20.100000000000001" customHeight="1" x14ac:dyDescent="0.2">
      <c r="A364" s="22">
        <v>43626</v>
      </c>
      <c r="B364" s="23" t="s">
        <v>53</v>
      </c>
      <c r="C364" s="23">
        <v>2.3450000000000002</v>
      </c>
      <c r="D364" s="23">
        <v>2.3784999999999998</v>
      </c>
      <c r="E364" s="23">
        <v>2.4133800000000001</v>
      </c>
      <c r="F364" s="23">
        <v>2.42075</v>
      </c>
      <c r="G364" s="23">
        <v>2.4357500000000001</v>
      </c>
      <c r="H364" s="23">
        <v>2.3487499999999999</v>
      </c>
      <c r="I364" s="23">
        <v>2.3376299999999999</v>
      </c>
    </row>
    <row r="365" spans="1:9" s="21" customFormat="1" ht="20.100000000000001" customHeight="1" x14ac:dyDescent="0.2">
      <c r="A365" s="22">
        <v>43627</v>
      </c>
      <c r="B365" s="23" t="s">
        <v>49</v>
      </c>
      <c r="C365" s="23">
        <v>2.3508800000000001</v>
      </c>
      <c r="D365" s="23">
        <v>2.3755000000000002</v>
      </c>
      <c r="E365" s="23">
        <v>2.4106299999999998</v>
      </c>
      <c r="F365" s="23">
        <v>2.4283800000000002</v>
      </c>
      <c r="G365" s="23">
        <v>2.4495</v>
      </c>
      <c r="H365" s="23">
        <v>2.3519999999999999</v>
      </c>
      <c r="I365" s="23">
        <v>2.3432499999999998</v>
      </c>
    </row>
    <row r="366" spans="1:9" s="21" customFormat="1" ht="20.100000000000001" customHeight="1" x14ac:dyDescent="0.2">
      <c r="A366" s="22">
        <v>43628</v>
      </c>
      <c r="B366" s="23" t="s">
        <v>50</v>
      </c>
      <c r="C366" s="23">
        <v>2.3503799999999999</v>
      </c>
      <c r="D366" s="23">
        <v>2.3744999999999998</v>
      </c>
      <c r="E366" s="23">
        <v>2.4011300000000002</v>
      </c>
      <c r="F366" s="23">
        <v>2.4203800000000002</v>
      </c>
      <c r="G366" s="23">
        <v>2.42788</v>
      </c>
      <c r="H366" s="23">
        <v>2.3416299999999999</v>
      </c>
      <c r="I366" s="23">
        <v>2.3330000000000002</v>
      </c>
    </row>
    <row r="367" spans="1:9" s="21" customFormat="1" ht="20.100000000000001" customHeight="1" x14ac:dyDescent="0.2">
      <c r="A367" s="22">
        <v>43629</v>
      </c>
      <c r="B367" s="23" t="s">
        <v>51</v>
      </c>
      <c r="C367" s="23">
        <v>2.3504999999999998</v>
      </c>
      <c r="D367" s="23">
        <v>2.36463</v>
      </c>
      <c r="E367" s="23">
        <v>2.39425</v>
      </c>
      <c r="F367" s="23">
        <v>2.40238</v>
      </c>
      <c r="G367" s="23">
        <v>2.41025</v>
      </c>
      <c r="H367" s="23">
        <v>2.3183799999999999</v>
      </c>
      <c r="I367" s="23">
        <v>2.3056299999999998</v>
      </c>
    </row>
    <row r="368" spans="1:9" s="21" customFormat="1" ht="20.100000000000001" customHeight="1" x14ac:dyDescent="0.2">
      <c r="A368" s="22">
        <v>43630</v>
      </c>
      <c r="B368" s="23" t="s">
        <v>52</v>
      </c>
      <c r="C368" s="23">
        <v>2.3466300000000002</v>
      </c>
      <c r="D368" s="23">
        <v>2.37</v>
      </c>
      <c r="E368" s="23">
        <v>2.3817499999999998</v>
      </c>
      <c r="F368" s="23">
        <v>2.39438</v>
      </c>
      <c r="G368" s="23">
        <v>2.4020000000000001</v>
      </c>
      <c r="H368" s="23">
        <v>2.27738</v>
      </c>
      <c r="I368" s="23">
        <v>2.2465000000000002</v>
      </c>
    </row>
    <row r="369" spans="1:9" s="21" customFormat="1" ht="20.100000000000001" customHeight="1" x14ac:dyDescent="0.2">
      <c r="A369" s="22">
        <v>43633</v>
      </c>
      <c r="B369" s="23" t="s">
        <v>53</v>
      </c>
      <c r="C369" s="23">
        <v>2.3443800000000001</v>
      </c>
      <c r="D369" s="23">
        <v>2.3595000000000002</v>
      </c>
      <c r="E369" s="23">
        <v>2.39025</v>
      </c>
      <c r="F369" s="23">
        <v>2.40638</v>
      </c>
      <c r="G369" s="23">
        <v>2.4184999999999999</v>
      </c>
      <c r="H369" s="23">
        <v>2.3087499999999999</v>
      </c>
      <c r="I369" s="23">
        <v>2.2867500000000001</v>
      </c>
    </row>
    <row r="370" spans="1:9" s="21" customFormat="1" ht="20.100000000000001" customHeight="1" x14ac:dyDescent="0.2">
      <c r="A370" s="22">
        <v>43634</v>
      </c>
      <c r="B370" s="23" t="s">
        <v>49</v>
      </c>
      <c r="C370" s="23">
        <v>2.3494999999999999</v>
      </c>
      <c r="D370" s="23">
        <v>2.3595000000000002</v>
      </c>
      <c r="E370" s="23">
        <v>2.3828800000000001</v>
      </c>
      <c r="F370" s="23">
        <v>2.39838</v>
      </c>
      <c r="G370" s="23">
        <v>2.3866299999999998</v>
      </c>
      <c r="H370" s="23">
        <v>2.298</v>
      </c>
      <c r="I370" s="23">
        <v>2.2643800000000001</v>
      </c>
    </row>
    <row r="371" spans="1:9" s="21" customFormat="1" ht="20.100000000000001" customHeight="1" x14ac:dyDescent="0.2">
      <c r="A371" s="22">
        <v>43635</v>
      </c>
      <c r="B371" s="23" t="s">
        <v>50</v>
      </c>
      <c r="C371" s="23">
        <v>2.3408799999999998</v>
      </c>
      <c r="D371" s="23">
        <v>2.3567499999999999</v>
      </c>
      <c r="E371" s="23">
        <v>2.3833799999999998</v>
      </c>
      <c r="F371" s="23">
        <v>2.3953799999999998</v>
      </c>
      <c r="G371" s="23">
        <v>2.3861300000000001</v>
      </c>
      <c r="H371" s="23">
        <v>2.2999999999999998</v>
      </c>
      <c r="I371" s="23">
        <v>2.2977500000000002</v>
      </c>
    </row>
    <row r="372" spans="1:9" s="21" customFormat="1" ht="20.100000000000001" customHeight="1" x14ac:dyDescent="0.2">
      <c r="A372" s="22">
        <v>43636</v>
      </c>
      <c r="B372" s="23" t="s">
        <v>51</v>
      </c>
      <c r="C372" s="23">
        <v>2.3414999999999999</v>
      </c>
      <c r="D372" s="23">
        <v>2.3818800000000002</v>
      </c>
      <c r="E372" s="23">
        <v>2.4036300000000002</v>
      </c>
      <c r="F372" s="23">
        <v>2.3809999999999998</v>
      </c>
      <c r="G372" s="23">
        <v>2.3431299999999999</v>
      </c>
      <c r="H372" s="23">
        <v>2.2167500000000002</v>
      </c>
      <c r="I372" s="23">
        <v>2.1615000000000002</v>
      </c>
    </row>
    <row r="373" spans="1:9" s="21" customFormat="1" ht="20.100000000000001" customHeight="1" x14ac:dyDescent="0.2">
      <c r="A373" s="22">
        <v>43637</v>
      </c>
      <c r="B373" s="23" t="s">
        <v>52</v>
      </c>
      <c r="C373" s="23">
        <v>2.3475000000000001</v>
      </c>
      <c r="D373" s="23">
        <v>2.3687499999999999</v>
      </c>
      <c r="E373" s="23">
        <v>2.4043800000000002</v>
      </c>
      <c r="F373" s="23">
        <v>2.37663</v>
      </c>
      <c r="G373" s="23">
        <v>2.3492500000000001</v>
      </c>
      <c r="H373" s="23">
        <v>2.2201300000000002</v>
      </c>
      <c r="I373" s="23">
        <v>2.2021299999999999</v>
      </c>
    </row>
    <row r="374" spans="1:9" s="21" customFormat="1" ht="20.100000000000001" customHeight="1" x14ac:dyDescent="0.2">
      <c r="A374" s="22">
        <v>43640</v>
      </c>
      <c r="B374" s="23" t="s">
        <v>53</v>
      </c>
      <c r="C374" s="23">
        <v>2.3492500000000001</v>
      </c>
      <c r="D374" s="23">
        <v>2.3759999999999999</v>
      </c>
      <c r="E374" s="23">
        <v>2.4017499999999998</v>
      </c>
      <c r="F374" s="23">
        <v>2.3494999999999999</v>
      </c>
      <c r="G374" s="23">
        <v>2.3328799999999998</v>
      </c>
      <c r="H374" s="23">
        <v>2.2098800000000001</v>
      </c>
      <c r="I374" s="23">
        <v>2.17875</v>
      </c>
    </row>
    <row r="375" spans="1:9" s="21" customFormat="1" ht="20.100000000000001" customHeight="1" x14ac:dyDescent="0.2">
      <c r="A375" s="22">
        <v>43641</v>
      </c>
      <c r="B375" s="23" t="s">
        <v>49</v>
      </c>
      <c r="C375" s="23">
        <v>2.3447499999999999</v>
      </c>
      <c r="D375" s="23">
        <v>2.37175</v>
      </c>
      <c r="E375" s="23">
        <v>2.4041299999999999</v>
      </c>
      <c r="F375" s="23">
        <v>2.3412500000000001</v>
      </c>
      <c r="G375" s="23">
        <v>2.3112499999999998</v>
      </c>
      <c r="H375" s="23">
        <v>2.18275</v>
      </c>
      <c r="I375" s="23">
        <v>2.1473800000000001</v>
      </c>
    </row>
    <row r="376" spans="1:9" s="21" customFormat="1" ht="20.100000000000001" customHeight="1" x14ac:dyDescent="0.2">
      <c r="A376" s="22">
        <v>43642</v>
      </c>
      <c r="B376" s="23" t="s">
        <v>50</v>
      </c>
      <c r="C376" s="23">
        <v>2.3540000000000001</v>
      </c>
      <c r="D376" s="23">
        <v>2.3853800000000001</v>
      </c>
      <c r="E376" s="23">
        <v>2.40238</v>
      </c>
      <c r="F376" s="23">
        <v>2.34538</v>
      </c>
      <c r="G376" s="23">
        <v>2.3298800000000002</v>
      </c>
      <c r="H376" s="23">
        <v>2.1997499999999999</v>
      </c>
      <c r="I376" s="23">
        <v>2.1832500000000001</v>
      </c>
    </row>
    <row r="377" spans="1:9" s="21" customFormat="1" ht="20.100000000000001" customHeight="1" x14ac:dyDescent="0.2">
      <c r="A377" s="22">
        <v>43643</v>
      </c>
      <c r="B377" s="23" t="s">
        <v>51</v>
      </c>
      <c r="C377" s="23">
        <v>2.3548800000000001</v>
      </c>
      <c r="D377" s="23">
        <v>2.37188</v>
      </c>
      <c r="E377" s="23">
        <v>2.40238</v>
      </c>
      <c r="F377" s="23">
        <v>2.3408799999999998</v>
      </c>
      <c r="G377" s="23">
        <v>2.3188800000000001</v>
      </c>
      <c r="H377" s="23">
        <v>2.2133799999999999</v>
      </c>
      <c r="I377" s="23">
        <v>2.1846299999999998</v>
      </c>
    </row>
    <row r="378" spans="1:9" s="21" customFormat="1" ht="20.100000000000001" customHeight="1" x14ac:dyDescent="0.2">
      <c r="A378" s="22">
        <v>43644</v>
      </c>
      <c r="B378" s="23" t="s">
        <v>52</v>
      </c>
      <c r="C378" s="23">
        <v>2.3703799999999999</v>
      </c>
      <c r="D378" s="23">
        <v>2.3723800000000002</v>
      </c>
      <c r="E378" s="23">
        <v>2.3980000000000001</v>
      </c>
      <c r="F378" s="23">
        <v>2.3308800000000001</v>
      </c>
      <c r="G378" s="23">
        <v>2.3198799999999999</v>
      </c>
      <c r="H378" s="23">
        <v>2.2004999999999999</v>
      </c>
      <c r="I378" s="23">
        <v>2.1781299999999999</v>
      </c>
    </row>
    <row r="379" spans="1:9" s="21" customFormat="1" ht="20.100000000000001" customHeight="1" x14ac:dyDescent="0.2">
      <c r="A379" s="22">
        <v>43647</v>
      </c>
      <c r="B379" s="23" t="s">
        <v>53</v>
      </c>
      <c r="C379" s="23">
        <v>2.35975</v>
      </c>
      <c r="D379" s="23">
        <v>2.3824999999999998</v>
      </c>
      <c r="E379" s="23">
        <v>2.38775</v>
      </c>
      <c r="F379" s="23">
        <v>2.339</v>
      </c>
      <c r="G379" s="23">
        <v>2.33188</v>
      </c>
      <c r="H379" s="23">
        <v>2.2185000000000001</v>
      </c>
      <c r="I379" s="23">
        <v>2.2018800000000001</v>
      </c>
    </row>
    <row r="380" spans="1:9" s="21" customFormat="1" ht="20.100000000000001" customHeight="1" x14ac:dyDescent="0.2">
      <c r="A380" s="22">
        <v>43648</v>
      </c>
      <c r="B380" s="23" t="s">
        <v>49</v>
      </c>
      <c r="C380" s="23">
        <v>2.3513799999999998</v>
      </c>
      <c r="D380" s="23">
        <v>2.3881299999999999</v>
      </c>
      <c r="E380" s="23">
        <v>2.3795000000000002</v>
      </c>
      <c r="F380" s="23">
        <v>2.3383799999999999</v>
      </c>
      <c r="G380" s="23">
        <v>2.3130000000000002</v>
      </c>
      <c r="H380" s="23">
        <v>2.2263799999999998</v>
      </c>
      <c r="I380" s="23">
        <v>2.2031299999999998</v>
      </c>
    </row>
    <row r="381" spans="1:9" s="21" customFormat="1" ht="20.100000000000001" customHeight="1" x14ac:dyDescent="0.2">
      <c r="A381" s="22">
        <v>43649</v>
      </c>
      <c r="B381" s="23" t="s">
        <v>50</v>
      </c>
      <c r="C381" s="23">
        <v>2.3563800000000001</v>
      </c>
      <c r="D381" s="23">
        <v>2.39575</v>
      </c>
      <c r="E381" s="23">
        <v>2.36</v>
      </c>
      <c r="F381" s="23">
        <v>2.3355000000000001</v>
      </c>
      <c r="G381" s="23">
        <v>2.2885</v>
      </c>
      <c r="H381" s="23">
        <v>2.2088800000000002</v>
      </c>
      <c r="I381" s="23">
        <v>2.18038</v>
      </c>
    </row>
    <row r="382" spans="1:9" s="21" customFormat="1" ht="20.100000000000001" customHeight="1" x14ac:dyDescent="0.2">
      <c r="A382" s="22">
        <v>43650</v>
      </c>
      <c r="B382" s="23" t="s">
        <v>51</v>
      </c>
      <c r="C382" s="23"/>
      <c r="D382" s="23">
        <v>2.3956300000000001</v>
      </c>
      <c r="E382" s="23">
        <v>2.3641299999999998</v>
      </c>
      <c r="F382" s="23">
        <v>2.3347500000000001</v>
      </c>
      <c r="G382" s="23">
        <v>2.3026300000000002</v>
      </c>
      <c r="H382" s="23">
        <v>2.2006299999999999</v>
      </c>
      <c r="I382" s="23">
        <v>2.1793800000000001</v>
      </c>
    </row>
    <row r="383" spans="1:9" s="21" customFormat="1" ht="20.100000000000001" customHeight="1" x14ac:dyDescent="0.2">
      <c r="A383" s="22">
        <v>43651</v>
      </c>
      <c r="B383" s="23" t="s">
        <v>52</v>
      </c>
      <c r="C383" s="23">
        <v>2.3482500000000002</v>
      </c>
      <c r="D383" s="23">
        <v>2.3769999999999998</v>
      </c>
      <c r="E383" s="23">
        <v>2.3664999999999998</v>
      </c>
      <c r="F383" s="23">
        <v>2.33738</v>
      </c>
      <c r="G383" s="23">
        <v>2.3113800000000002</v>
      </c>
      <c r="H383" s="23">
        <v>2.2097500000000001</v>
      </c>
      <c r="I383" s="23">
        <v>2.19163</v>
      </c>
    </row>
    <row r="384" spans="1:9" s="21" customFormat="1" ht="20.100000000000001" customHeight="1" x14ac:dyDescent="0.2">
      <c r="A384" s="22">
        <v>43654</v>
      </c>
      <c r="B384" s="23" t="s">
        <v>53</v>
      </c>
      <c r="C384" s="23">
        <v>2.3568799999999999</v>
      </c>
      <c r="D384" s="23">
        <v>2.3771300000000002</v>
      </c>
      <c r="E384" s="23">
        <v>2.3793799999999998</v>
      </c>
      <c r="F384" s="23">
        <v>2.3647499999999999</v>
      </c>
      <c r="G384" s="23">
        <v>2.3377500000000002</v>
      </c>
      <c r="H384" s="23">
        <v>2.2565</v>
      </c>
      <c r="I384" s="23">
        <v>2.2614999999999998</v>
      </c>
    </row>
    <row r="385" spans="1:9" s="21" customFormat="1" ht="20.100000000000001" customHeight="1" x14ac:dyDescent="0.2">
      <c r="A385" s="22">
        <v>43655</v>
      </c>
      <c r="B385" s="23" t="s">
        <v>49</v>
      </c>
      <c r="C385" s="23">
        <v>2.3501300000000001</v>
      </c>
      <c r="D385" s="23">
        <v>2.3803800000000002</v>
      </c>
      <c r="E385" s="23">
        <v>2.36863</v>
      </c>
      <c r="F385" s="23">
        <v>2.3578800000000002</v>
      </c>
      <c r="G385" s="23">
        <v>2.3407499999999999</v>
      </c>
      <c r="H385" s="23">
        <v>2.2567499999999998</v>
      </c>
      <c r="I385" s="23">
        <v>2.2734999999999999</v>
      </c>
    </row>
    <row r="386" spans="1:9" s="21" customFormat="1" ht="20.100000000000001" customHeight="1" x14ac:dyDescent="0.2">
      <c r="A386" s="22">
        <v>43656</v>
      </c>
      <c r="B386" s="23" t="s">
        <v>50</v>
      </c>
      <c r="C386" s="23">
        <v>2.3547500000000001</v>
      </c>
      <c r="D386" s="23">
        <v>2.3842500000000002</v>
      </c>
      <c r="E386" s="23">
        <v>2.3691300000000002</v>
      </c>
      <c r="F386" s="23">
        <v>2.3636300000000001</v>
      </c>
      <c r="G386" s="23">
        <v>2.3395000000000001</v>
      </c>
      <c r="H386" s="23">
        <v>2.2623799999999998</v>
      </c>
      <c r="I386" s="23">
        <v>2.2857500000000002</v>
      </c>
    </row>
    <row r="387" spans="1:9" s="21" customFormat="1" ht="20.100000000000001" customHeight="1" x14ac:dyDescent="0.2">
      <c r="A387" s="22">
        <v>43657</v>
      </c>
      <c r="B387" s="23" t="s">
        <v>51</v>
      </c>
      <c r="C387" s="23">
        <v>2.359</v>
      </c>
      <c r="D387" s="23">
        <v>2.3747500000000001</v>
      </c>
      <c r="E387" s="23">
        <v>2.3250000000000002</v>
      </c>
      <c r="F387" s="23">
        <v>2.3247499999999999</v>
      </c>
      <c r="G387" s="23">
        <v>2.3033800000000002</v>
      </c>
      <c r="H387" s="23">
        <v>2.2126299999999999</v>
      </c>
      <c r="I387" s="23">
        <v>2.1932499999999999</v>
      </c>
    </row>
    <row r="388" spans="1:9" s="21" customFormat="1" ht="20.100000000000001" customHeight="1" x14ac:dyDescent="0.2">
      <c r="A388" s="22">
        <v>43658</v>
      </c>
      <c r="B388" s="23" t="s">
        <v>52</v>
      </c>
      <c r="C388" s="23">
        <v>2.3591299999999999</v>
      </c>
      <c r="D388" s="23">
        <v>2.3817499999999998</v>
      </c>
      <c r="E388" s="23">
        <v>2.3319999999999999</v>
      </c>
      <c r="F388" s="23">
        <v>2.3337500000000002</v>
      </c>
      <c r="G388" s="23">
        <v>2.3222499999999999</v>
      </c>
      <c r="H388" s="23">
        <v>2.22925</v>
      </c>
      <c r="I388" s="23">
        <v>2.2311299999999998</v>
      </c>
    </row>
    <row r="389" spans="1:9" s="21" customFormat="1" ht="20.100000000000001" customHeight="1" x14ac:dyDescent="0.2">
      <c r="A389" s="22">
        <v>43661</v>
      </c>
      <c r="B389" s="23" t="s">
        <v>53</v>
      </c>
      <c r="C389" s="23">
        <v>2.3571300000000002</v>
      </c>
      <c r="D389" s="23">
        <v>2.3747500000000001</v>
      </c>
      <c r="E389" s="23">
        <v>2.31413</v>
      </c>
      <c r="F389" s="23">
        <v>2.3083800000000001</v>
      </c>
      <c r="G389" s="23">
        <v>2.3032499999999998</v>
      </c>
      <c r="H389" s="23">
        <v>2.21713</v>
      </c>
      <c r="I389" s="23">
        <v>2.2105000000000001</v>
      </c>
    </row>
    <row r="390" spans="1:9" s="21" customFormat="1" ht="20.100000000000001" customHeight="1" x14ac:dyDescent="0.2">
      <c r="A390" s="22">
        <v>43662</v>
      </c>
      <c r="B390" s="23" t="s">
        <v>49</v>
      </c>
      <c r="C390" s="23">
        <v>2.35663</v>
      </c>
      <c r="D390" s="23">
        <v>2.3792499999999999</v>
      </c>
      <c r="E390" s="23">
        <v>2.3003800000000001</v>
      </c>
      <c r="F390" s="23">
        <v>2.3018800000000001</v>
      </c>
      <c r="G390" s="23">
        <v>2.2996300000000001</v>
      </c>
      <c r="H390" s="23">
        <v>2.2069999999999999</v>
      </c>
      <c r="I390" s="23">
        <v>2.21088</v>
      </c>
    </row>
    <row r="391" spans="1:9" s="21" customFormat="1" ht="20.100000000000001" customHeight="1" x14ac:dyDescent="0.2">
      <c r="A391" s="22">
        <v>43663</v>
      </c>
      <c r="B391" s="23" t="s">
        <v>50</v>
      </c>
      <c r="C391" s="23">
        <v>2.3627500000000001</v>
      </c>
      <c r="D391" s="23">
        <v>2.3701300000000001</v>
      </c>
      <c r="E391" s="23">
        <v>2.2978800000000001</v>
      </c>
      <c r="F391" s="23">
        <v>2.2953800000000002</v>
      </c>
      <c r="G391" s="23">
        <v>2.3025000000000002</v>
      </c>
      <c r="H391" s="23">
        <v>2.19875</v>
      </c>
      <c r="I391" s="23">
        <v>2.2170000000000001</v>
      </c>
    </row>
    <row r="392" spans="1:9" s="21" customFormat="1" ht="20.100000000000001" customHeight="1" x14ac:dyDescent="0.2">
      <c r="A392" s="22">
        <v>43664</v>
      </c>
      <c r="B392" s="23" t="s">
        <v>51</v>
      </c>
      <c r="C392" s="23">
        <v>2.36063</v>
      </c>
      <c r="D392" s="23">
        <v>2.3769999999999998</v>
      </c>
      <c r="E392" s="23">
        <v>2.2715000000000001</v>
      </c>
      <c r="F392" s="23">
        <v>2.2798799999999999</v>
      </c>
      <c r="G392" s="23">
        <v>2.2776299999999998</v>
      </c>
      <c r="H392" s="23">
        <v>2.1742499999999998</v>
      </c>
      <c r="I392" s="23">
        <v>2.1921300000000001</v>
      </c>
    </row>
    <row r="393" spans="1:9" s="21" customFormat="1" ht="20.100000000000001" customHeight="1" x14ac:dyDescent="0.2">
      <c r="A393" s="22">
        <v>43665</v>
      </c>
      <c r="B393" s="23" t="s">
        <v>52</v>
      </c>
      <c r="C393" s="23">
        <v>2.3620000000000001</v>
      </c>
      <c r="D393" s="23">
        <v>2.36938</v>
      </c>
      <c r="E393" s="23">
        <v>2.2611300000000001</v>
      </c>
      <c r="F393" s="23">
        <v>2.2597499999999999</v>
      </c>
      <c r="G393" s="23">
        <v>2.2593800000000002</v>
      </c>
      <c r="H393" s="23">
        <v>2.14425</v>
      </c>
      <c r="I393" s="23">
        <v>2.1577500000000001</v>
      </c>
    </row>
    <row r="394" spans="1:9" s="21" customFormat="1" ht="20.100000000000001" customHeight="1" x14ac:dyDescent="0.2">
      <c r="A394" s="22">
        <v>43668</v>
      </c>
      <c r="B394" s="23" t="s">
        <v>53</v>
      </c>
      <c r="C394" s="23">
        <v>2.3596300000000001</v>
      </c>
      <c r="D394" s="23">
        <v>2.37425</v>
      </c>
      <c r="E394" s="23">
        <v>2.2691300000000001</v>
      </c>
      <c r="F394" s="23">
        <v>2.2936299999999998</v>
      </c>
      <c r="G394" s="23">
        <v>2.2827500000000001</v>
      </c>
      <c r="H394" s="23">
        <v>2.1807500000000002</v>
      </c>
      <c r="I394" s="23">
        <v>2.18838</v>
      </c>
    </row>
    <row r="395" spans="1:9" s="21" customFormat="1" ht="20.100000000000001" customHeight="1" x14ac:dyDescent="0.2">
      <c r="A395" s="22">
        <v>43669</v>
      </c>
      <c r="B395" s="23" t="s">
        <v>49</v>
      </c>
      <c r="C395" s="23">
        <v>2.3537499999999998</v>
      </c>
      <c r="D395" s="23">
        <v>2.3741300000000001</v>
      </c>
      <c r="E395" s="23">
        <v>2.266</v>
      </c>
      <c r="F395" s="23">
        <v>2.286</v>
      </c>
      <c r="G395" s="23">
        <v>2.2755000000000001</v>
      </c>
      <c r="H395" s="23">
        <v>2.1848800000000002</v>
      </c>
      <c r="I395" s="23">
        <v>2.1912500000000001</v>
      </c>
    </row>
    <row r="396" spans="1:9" s="21" customFormat="1" ht="20.100000000000001" customHeight="1" x14ac:dyDescent="0.2">
      <c r="A396" s="22">
        <v>43670</v>
      </c>
      <c r="B396" s="23" t="s">
        <v>50</v>
      </c>
      <c r="C396" s="23">
        <v>2.3522500000000002</v>
      </c>
      <c r="D396" s="23">
        <v>2.3491300000000002</v>
      </c>
      <c r="E396" s="23">
        <v>2.2617500000000001</v>
      </c>
      <c r="F396" s="23">
        <v>2.2805</v>
      </c>
      <c r="G396" s="23">
        <v>2.2666300000000001</v>
      </c>
      <c r="H396" s="23">
        <v>2.1831299999999998</v>
      </c>
      <c r="I396" s="23">
        <v>2.1795</v>
      </c>
    </row>
    <row r="397" spans="1:9" s="21" customFormat="1" ht="20.100000000000001" customHeight="1" x14ac:dyDescent="0.2">
      <c r="A397" s="22">
        <v>43671</v>
      </c>
      <c r="B397" s="23" t="s">
        <v>51</v>
      </c>
      <c r="C397" s="23">
        <v>2.3490000000000002</v>
      </c>
      <c r="D397" s="23">
        <v>2.30688</v>
      </c>
      <c r="E397" s="23">
        <v>2.2411300000000001</v>
      </c>
      <c r="F397" s="23">
        <v>2.2526299999999999</v>
      </c>
      <c r="G397" s="23">
        <v>2.2557499999999999</v>
      </c>
      <c r="H397" s="23">
        <v>2.1775000000000002</v>
      </c>
      <c r="I397" s="23">
        <v>2.1788799999999999</v>
      </c>
    </row>
    <row r="398" spans="1:9" s="21" customFormat="1" ht="20.100000000000001" customHeight="1" x14ac:dyDescent="0.2">
      <c r="A398" s="22">
        <v>43672</v>
      </c>
      <c r="B398" s="23" t="s">
        <v>52</v>
      </c>
      <c r="C398" s="23">
        <v>2.3503799999999999</v>
      </c>
      <c r="D398" s="23">
        <v>2.2731300000000001</v>
      </c>
      <c r="E398" s="23">
        <v>2.2370000000000001</v>
      </c>
      <c r="F398" s="23">
        <v>2.2469999999999999</v>
      </c>
      <c r="G398" s="23">
        <v>2.2657500000000002</v>
      </c>
      <c r="H398" s="23">
        <v>2.2048800000000002</v>
      </c>
      <c r="I398" s="23">
        <v>2.1966299999999999</v>
      </c>
    </row>
    <row r="399" spans="1:9" s="21" customFormat="1" ht="20.100000000000001" customHeight="1" x14ac:dyDescent="0.2">
      <c r="A399" s="22">
        <v>43675</v>
      </c>
      <c r="B399" s="23" t="s">
        <v>53</v>
      </c>
      <c r="C399" s="23">
        <v>2.34863</v>
      </c>
      <c r="D399" s="23">
        <v>2.2322500000000001</v>
      </c>
      <c r="E399" s="23">
        <v>2.2343799999999998</v>
      </c>
      <c r="F399" s="23">
        <v>2.258</v>
      </c>
      <c r="G399" s="23">
        <v>2.2555000000000001</v>
      </c>
      <c r="H399" s="23">
        <v>2.19625</v>
      </c>
      <c r="I399" s="23">
        <v>2.198</v>
      </c>
    </row>
    <row r="400" spans="1:9" s="21" customFormat="1" ht="20.100000000000001" customHeight="1" x14ac:dyDescent="0.2">
      <c r="A400" s="22">
        <v>43676</v>
      </c>
      <c r="B400" s="23" t="s">
        <v>49</v>
      </c>
      <c r="C400" s="23">
        <v>2.347</v>
      </c>
      <c r="D400" s="23">
        <v>2.19625</v>
      </c>
      <c r="E400" s="23">
        <v>2.2297500000000001</v>
      </c>
      <c r="F400" s="23">
        <v>2.2524999999999999</v>
      </c>
      <c r="G400" s="23">
        <v>2.2531300000000001</v>
      </c>
      <c r="H400" s="23">
        <v>2.19163</v>
      </c>
      <c r="I400" s="23">
        <v>2.1884999999999999</v>
      </c>
    </row>
    <row r="401" spans="1:9" s="21" customFormat="1" ht="20.100000000000001" customHeight="1" x14ac:dyDescent="0.2">
      <c r="A401" s="22">
        <v>43677</v>
      </c>
      <c r="B401" s="23" t="s">
        <v>50</v>
      </c>
      <c r="C401" s="23">
        <v>2.3516300000000001</v>
      </c>
      <c r="D401" s="23">
        <v>2.17625</v>
      </c>
      <c r="E401" s="23">
        <v>2.2242500000000001</v>
      </c>
      <c r="F401" s="23">
        <v>2.2528800000000002</v>
      </c>
      <c r="G401" s="23">
        <v>2.2656299999999998</v>
      </c>
      <c r="H401" s="23">
        <v>2.20688</v>
      </c>
      <c r="I401" s="23">
        <v>2.1886299999999999</v>
      </c>
    </row>
    <row r="402" spans="1:9" s="21" customFormat="1" ht="20.100000000000001" customHeight="1" x14ac:dyDescent="0.2">
      <c r="A402" s="22">
        <v>43678</v>
      </c>
      <c r="B402" s="23" t="s">
        <v>51</v>
      </c>
      <c r="C402" s="23">
        <v>2.11225</v>
      </c>
      <c r="D402" s="23">
        <v>2.18825</v>
      </c>
      <c r="E402" s="23">
        <v>2.2441300000000002</v>
      </c>
      <c r="F402" s="23">
        <v>2.2705000000000002</v>
      </c>
      <c r="G402" s="23">
        <v>2.2867500000000001</v>
      </c>
      <c r="H402" s="23">
        <v>2.22688</v>
      </c>
      <c r="I402" s="23">
        <v>2.2385000000000002</v>
      </c>
    </row>
    <row r="403" spans="1:9" s="21" customFormat="1" ht="20.100000000000001" customHeight="1" x14ac:dyDescent="0.2">
      <c r="A403" s="22">
        <v>43679</v>
      </c>
      <c r="B403" s="23" t="s">
        <v>52</v>
      </c>
      <c r="C403" s="23">
        <v>2.10425</v>
      </c>
      <c r="D403" s="23">
        <v>2.1801300000000001</v>
      </c>
      <c r="E403" s="23">
        <v>2.2284999999999999</v>
      </c>
      <c r="F403" s="23">
        <v>2.2457500000000001</v>
      </c>
      <c r="G403" s="23">
        <v>2.2392500000000002</v>
      </c>
      <c r="H403" s="23">
        <v>2.133</v>
      </c>
      <c r="I403" s="23">
        <v>2.1158800000000002</v>
      </c>
    </row>
    <row r="404" spans="1:9" s="21" customFormat="1" ht="20.100000000000001" customHeight="1" x14ac:dyDescent="0.2">
      <c r="A404" s="22">
        <v>43682</v>
      </c>
      <c r="B404" s="23" t="s">
        <v>53</v>
      </c>
      <c r="C404" s="23">
        <v>2.1051299999999999</v>
      </c>
      <c r="D404" s="23">
        <v>2.1628799999999999</v>
      </c>
      <c r="E404" s="23">
        <v>2.2229999999999999</v>
      </c>
      <c r="F404" s="23">
        <v>2.23238</v>
      </c>
      <c r="G404" s="23">
        <v>2.2090000000000001</v>
      </c>
      <c r="H404" s="23">
        <v>2.08588</v>
      </c>
      <c r="I404" s="23">
        <v>2.0367500000000001</v>
      </c>
    </row>
    <row r="405" spans="1:9" s="21" customFormat="1" ht="20.100000000000001" customHeight="1" x14ac:dyDescent="0.2">
      <c r="A405" s="22">
        <v>43683</v>
      </c>
      <c r="B405" s="23" t="s">
        <v>49</v>
      </c>
      <c r="C405" s="23">
        <v>2.0971299999999999</v>
      </c>
      <c r="D405" s="23">
        <v>2.15463</v>
      </c>
      <c r="E405" s="23">
        <v>2.2127500000000002</v>
      </c>
      <c r="F405" s="23">
        <v>2.2229999999999999</v>
      </c>
      <c r="G405" s="23">
        <v>2.1869999999999998</v>
      </c>
      <c r="H405" s="23">
        <v>2.0511300000000001</v>
      </c>
      <c r="I405" s="23">
        <v>1.99413</v>
      </c>
    </row>
    <row r="406" spans="1:9" s="21" customFormat="1" ht="20.100000000000001" customHeight="1" x14ac:dyDescent="0.2">
      <c r="A406" s="22">
        <v>43684</v>
      </c>
      <c r="B406" s="23" t="s">
        <v>50</v>
      </c>
      <c r="C406" s="23">
        <v>2.09938</v>
      </c>
      <c r="D406" s="23">
        <v>2.1515</v>
      </c>
      <c r="E406" s="23">
        <v>2.2112500000000002</v>
      </c>
      <c r="F406" s="23">
        <v>2.2240000000000002</v>
      </c>
      <c r="G406" s="23">
        <v>2.1844999999999999</v>
      </c>
      <c r="H406" s="23">
        <v>2.0476299999999998</v>
      </c>
      <c r="I406" s="23">
        <v>1.9770000000000001</v>
      </c>
    </row>
    <row r="407" spans="1:9" s="21" customFormat="1" ht="20.100000000000001" customHeight="1" x14ac:dyDescent="0.2">
      <c r="A407" s="22">
        <v>43685</v>
      </c>
      <c r="B407" s="23" t="s">
        <v>51</v>
      </c>
      <c r="C407" s="23">
        <v>2.0952500000000001</v>
      </c>
      <c r="D407" s="23">
        <v>2.149</v>
      </c>
      <c r="E407" s="23">
        <v>2.2008800000000002</v>
      </c>
      <c r="F407" s="23">
        <v>2.2137500000000001</v>
      </c>
      <c r="G407" s="23">
        <v>2.181</v>
      </c>
      <c r="H407" s="23">
        <v>2.0502500000000001</v>
      </c>
      <c r="I407" s="23">
        <v>1.9930000000000001</v>
      </c>
    </row>
    <row r="408" spans="1:9" s="21" customFormat="1" ht="20.100000000000001" customHeight="1" x14ac:dyDescent="0.2">
      <c r="A408" s="22">
        <v>43686</v>
      </c>
      <c r="B408" s="23" t="s">
        <v>52</v>
      </c>
      <c r="C408" s="23">
        <v>2.09538</v>
      </c>
      <c r="D408" s="23">
        <v>2.1407500000000002</v>
      </c>
      <c r="E408" s="23">
        <v>2.1942499999999998</v>
      </c>
      <c r="F408" s="23">
        <v>2.206</v>
      </c>
      <c r="G408" s="23">
        <v>2.17563</v>
      </c>
      <c r="H408" s="23">
        <v>2.052</v>
      </c>
      <c r="I408" s="23">
        <v>1.9878800000000001</v>
      </c>
    </row>
    <row r="409" spans="1:9" s="21" customFormat="1" ht="20.100000000000001" customHeight="1" x14ac:dyDescent="0.2">
      <c r="A409" s="22">
        <v>43689</v>
      </c>
      <c r="B409" s="23" t="s">
        <v>53</v>
      </c>
      <c r="C409" s="23">
        <v>2.1027499999999999</v>
      </c>
      <c r="D409" s="23">
        <v>2.14113</v>
      </c>
      <c r="E409" s="23">
        <v>2.1952500000000001</v>
      </c>
      <c r="F409" s="23">
        <v>2.1894999999999998</v>
      </c>
      <c r="G409" s="23">
        <v>2.1752500000000001</v>
      </c>
      <c r="H409" s="23">
        <v>2.0576300000000001</v>
      </c>
      <c r="I409" s="23">
        <v>1.9906299999999999</v>
      </c>
    </row>
    <row r="410" spans="1:9" s="21" customFormat="1" ht="20.100000000000001" customHeight="1" x14ac:dyDescent="0.2">
      <c r="A410" s="22">
        <v>43690</v>
      </c>
      <c r="B410" s="23" t="s">
        <v>49</v>
      </c>
      <c r="C410" s="23">
        <v>2.0982500000000002</v>
      </c>
      <c r="D410" s="23">
        <v>2.1419999999999999</v>
      </c>
      <c r="E410" s="23">
        <v>2.1951299999999998</v>
      </c>
      <c r="F410" s="23">
        <v>2.17963</v>
      </c>
      <c r="G410" s="23">
        <v>2.1581299999999999</v>
      </c>
      <c r="H410" s="23">
        <v>2.0339999999999998</v>
      </c>
      <c r="I410" s="23">
        <v>1.9701299999999999</v>
      </c>
    </row>
    <row r="411" spans="1:9" s="21" customFormat="1" ht="20.100000000000001" customHeight="1" x14ac:dyDescent="0.2">
      <c r="A411" s="22">
        <v>43691</v>
      </c>
      <c r="B411" s="23" t="s">
        <v>50</v>
      </c>
      <c r="C411" s="23">
        <v>2.09213</v>
      </c>
      <c r="D411" s="23">
        <v>2.1385000000000001</v>
      </c>
      <c r="E411" s="23">
        <v>2.1973799999999999</v>
      </c>
      <c r="F411" s="23">
        <v>2.1905000000000001</v>
      </c>
      <c r="G411" s="23">
        <v>2.16838</v>
      </c>
      <c r="H411" s="23">
        <v>2.0798800000000002</v>
      </c>
      <c r="I411" s="23">
        <v>2.0289999999999999</v>
      </c>
    </row>
    <row r="412" spans="1:9" s="21" customFormat="1" ht="20.100000000000001" customHeight="1" x14ac:dyDescent="0.2">
      <c r="A412" s="22">
        <v>43692</v>
      </c>
      <c r="B412" s="23" t="s">
        <v>51</v>
      </c>
      <c r="C412" s="23">
        <v>2.0958800000000002</v>
      </c>
      <c r="D412" s="23">
        <v>2.1292499999999999</v>
      </c>
      <c r="E412" s="23">
        <v>2.1819999999999999</v>
      </c>
      <c r="F412" s="23">
        <v>2.15313</v>
      </c>
      <c r="G412" s="23">
        <v>2.1237499999999998</v>
      </c>
      <c r="H412" s="23">
        <v>2.0139999999999998</v>
      </c>
      <c r="I412" s="23">
        <v>1.9325000000000001</v>
      </c>
    </row>
    <row r="413" spans="1:9" s="21" customFormat="1" ht="20.100000000000001" customHeight="1" x14ac:dyDescent="0.2">
      <c r="A413" s="22">
        <v>43693</v>
      </c>
      <c r="B413" s="23" t="s">
        <v>52</v>
      </c>
      <c r="C413" s="23">
        <v>2.0985</v>
      </c>
      <c r="D413" s="23">
        <v>2.1163799999999999</v>
      </c>
      <c r="E413" s="23">
        <v>2.1721300000000001</v>
      </c>
      <c r="F413" s="23">
        <v>2.1560000000000001</v>
      </c>
      <c r="G413" s="23">
        <v>2.1358799999999998</v>
      </c>
      <c r="H413" s="23">
        <v>2.01675</v>
      </c>
      <c r="I413" s="23">
        <v>1.9450000000000001</v>
      </c>
    </row>
    <row r="414" spans="1:9" s="21" customFormat="1" ht="20.100000000000001" customHeight="1" x14ac:dyDescent="0.2">
      <c r="A414" s="22">
        <v>43696</v>
      </c>
      <c r="B414" s="23" t="s">
        <v>53</v>
      </c>
      <c r="C414" s="23">
        <v>2.09538</v>
      </c>
      <c r="D414" s="23">
        <v>2.1173799999999998</v>
      </c>
      <c r="E414" s="23">
        <v>2.1686299999999998</v>
      </c>
      <c r="F414" s="23">
        <v>2.1666300000000001</v>
      </c>
      <c r="G414" s="23">
        <v>2.1515</v>
      </c>
      <c r="H414" s="23">
        <v>2.0291299999999999</v>
      </c>
      <c r="I414" s="23">
        <v>1.9532499999999999</v>
      </c>
    </row>
    <row r="415" spans="1:9" s="21" customFormat="1" ht="20.100000000000001" customHeight="1" x14ac:dyDescent="0.2">
      <c r="A415" s="22">
        <v>43697</v>
      </c>
      <c r="B415" s="23" t="s">
        <v>49</v>
      </c>
      <c r="C415" s="23">
        <v>2.097</v>
      </c>
      <c r="D415" s="23">
        <v>2.1336300000000001</v>
      </c>
      <c r="E415" s="23">
        <v>2.17</v>
      </c>
      <c r="F415" s="23">
        <v>2.1659999999999999</v>
      </c>
      <c r="G415" s="23">
        <v>2.1495000000000002</v>
      </c>
      <c r="H415" s="23">
        <v>2.0236299999999998</v>
      </c>
      <c r="I415" s="23">
        <v>1.9484999999999999</v>
      </c>
    </row>
    <row r="416" spans="1:9" s="21" customFormat="1" ht="20.100000000000001" customHeight="1" x14ac:dyDescent="0.2">
      <c r="A416" s="22">
        <v>43698</v>
      </c>
      <c r="B416" s="23" t="s">
        <v>50</v>
      </c>
      <c r="C416" s="23">
        <v>2.093</v>
      </c>
      <c r="D416" s="23">
        <v>2.1398799999999998</v>
      </c>
      <c r="E416" s="23">
        <v>2.1666300000000001</v>
      </c>
      <c r="F416" s="23">
        <v>2.1697500000000001</v>
      </c>
      <c r="G416" s="23">
        <v>2.1476299999999999</v>
      </c>
      <c r="H416" s="23">
        <v>2.0253800000000002</v>
      </c>
      <c r="I416" s="23">
        <v>1.95425</v>
      </c>
    </row>
    <row r="417" spans="1:9" s="21" customFormat="1" ht="20.100000000000001" customHeight="1" x14ac:dyDescent="0.2">
      <c r="A417" s="22">
        <v>43699</v>
      </c>
      <c r="B417" s="23" t="s">
        <v>51</v>
      </c>
      <c r="C417" s="23">
        <v>2.0936300000000001</v>
      </c>
      <c r="D417" s="23">
        <v>2.1271300000000002</v>
      </c>
      <c r="E417" s="23">
        <v>2.1452499999999999</v>
      </c>
      <c r="F417" s="23">
        <v>2.1593800000000001</v>
      </c>
      <c r="G417" s="23">
        <v>2.13225</v>
      </c>
      <c r="H417" s="23">
        <v>2.0425</v>
      </c>
      <c r="I417" s="23">
        <v>1.9732499999999999</v>
      </c>
    </row>
    <row r="418" spans="1:9" s="21" customFormat="1" ht="20.100000000000001" customHeight="1" x14ac:dyDescent="0.2">
      <c r="A418" s="22">
        <v>43700</v>
      </c>
      <c r="B418" s="23" t="s">
        <v>52</v>
      </c>
      <c r="C418" s="23">
        <v>2.0883799999999999</v>
      </c>
      <c r="D418" s="23">
        <v>2.1339999999999999</v>
      </c>
      <c r="E418" s="23">
        <v>2.1395</v>
      </c>
      <c r="F418" s="23">
        <v>2.1713800000000001</v>
      </c>
      <c r="G418" s="23">
        <v>2.14438</v>
      </c>
      <c r="H418" s="23">
        <v>2.08013</v>
      </c>
      <c r="I418" s="23">
        <v>2.0285000000000002</v>
      </c>
    </row>
    <row r="419" spans="1:9" s="21" customFormat="1" ht="20.100000000000001" customHeight="1" x14ac:dyDescent="0.2">
      <c r="A419" s="22">
        <v>43704</v>
      </c>
      <c r="B419" s="23" t="s">
        <v>49</v>
      </c>
      <c r="C419" s="23">
        <v>2.0957499999999998</v>
      </c>
      <c r="D419" s="23">
        <v>2.13713</v>
      </c>
      <c r="E419" s="23">
        <v>2.1158800000000002</v>
      </c>
      <c r="F419" s="23">
        <v>2.15238</v>
      </c>
      <c r="G419" s="23">
        <v>2.1173799999999998</v>
      </c>
      <c r="H419" s="23">
        <v>2.0375000000000001</v>
      </c>
      <c r="I419" s="23">
        <v>1.9493799999999999</v>
      </c>
    </row>
    <row r="420" spans="1:9" s="21" customFormat="1" ht="20.100000000000001" customHeight="1" x14ac:dyDescent="0.2">
      <c r="A420" s="22">
        <v>43705</v>
      </c>
      <c r="B420" s="23" t="s">
        <v>50</v>
      </c>
      <c r="C420" s="23">
        <v>2.08663</v>
      </c>
      <c r="D420" s="23">
        <v>2.1351300000000002</v>
      </c>
      <c r="E420" s="23">
        <v>2.1120000000000001</v>
      </c>
      <c r="F420" s="23">
        <v>2.1456300000000001</v>
      </c>
      <c r="G420" s="23">
        <v>2.1241300000000001</v>
      </c>
      <c r="H420" s="23">
        <v>2.0351300000000001</v>
      </c>
      <c r="I420" s="23">
        <v>1.9493799999999999</v>
      </c>
    </row>
    <row r="421" spans="1:9" s="21" customFormat="1" ht="20.100000000000001" customHeight="1" x14ac:dyDescent="0.2">
      <c r="A421" s="22">
        <v>43706</v>
      </c>
      <c r="B421" s="23" t="s">
        <v>51</v>
      </c>
      <c r="C421" s="23">
        <v>2.0950000000000002</v>
      </c>
      <c r="D421" s="23">
        <v>2.1425000000000001</v>
      </c>
      <c r="E421" s="23">
        <v>2.10025</v>
      </c>
      <c r="F421" s="23">
        <v>2.1473800000000001</v>
      </c>
      <c r="G421" s="23">
        <v>2.1317499999999998</v>
      </c>
      <c r="H421" s="23">
        <v>2.03138</v>
      </c>
      <c r="I421" s="23">
        <v>1.9613799999999999</v>
      </c>
    </row>
    <row r="422" spans="1:9" s="21" customFormat="1" ht="20.100000000000001" customHeight="1" x14ac:dyDescent="0.2">
      <c r="A422" s="22">
        <v>43707</v>
      </c>
      <c r="B422" s="23" t="s">
        <v>52</v>
      </c>
      <c r="C422" s="23">
        <v>2.0896300000000001</v>
      </c>
      <c r="D422" s="23">
        <v>2.1366299999999998</v>
      </c>
      <c r="E422" s="23">
        <v>2.089</v>
      </c>
      <c r="F422" s="23">
        <v>2.1496300000000002</v>
      </c>
      <c r="G422" s="23">
        <v>2.1376300000000001</v>
      </c>
      <c r="H422" s="23">
        <v>2.0365000000000002</v>
      </c>
      <c r="I422" s="23">
        <v>1.974</v>
      </c>
    </row>
    <row r="423" spans="1:9" s="21" customFormat="1" ht="20.100000000000001" customHeight="1" x14ac:dyDescent="0.2">
      <c r="A423" s="22">
        <v>43710</v>
      </c>
      <c r="B423" s="23" t="s">
        <v>53</v>
      </c>
      <c r="C423" s="23"/>
      <c r="D423" s="23">
        <v>2.1295000000000002</v>
      </c>
      <c r="E423" s="23">
        <v>2.08188</v>
      </c>
      <c r="F423" s="23">
        <v>2.1462500000000002</v>
      </c>
      <c r="G423" s="23">
        <v>2.1327500000000001</v>
      </c>
      <c r="H423" s="23">
        <v>2.024</v>
      </c>
      <c r="I423" s="23">
        <v>1.9493799999999999</v>
      </c>
    </row>
    <row r="424" spans="1:9" s="21" customFormat="1" ht="20.100000000000001" customHeight="1" x14ac:dyDescent="0.2">
      <c r="A424" s="22">
        <v>43711</v>
      </c>
      <c r="B424" s="23" t="s">
        <v>49</v>
      </c>
      <c r="C424" s="23">
        <v>2.09063</v>
      </c>
      <c r="D424" s="23">
        <v>2.13713</v>
      </c>
      <c r="E424" s="23">
        <v>2.0668799999999998</v>
      </c>
      <c r="F424" s="23">
        <v>2.1373799999999998</v>
      </c>
      <c r="G424" s="23">
        <v>2.12663</v>
      </c>
      <c r="H424" s="23">
        <v>2.0123799999999998</v>
      </c>
      <c r="I424" s="23">
        <v>1.93638</v>
      </c>
    </row>
    <row r="425" spans="1:9" s="21" customFormat="1" ht="20.100000000000001" customHeight="1" x14ac:dyDescent="0.2">
      <c r="A425" s="22">
        <v>43712</v>
      </c>
      <c r="B425" s="23" t="s">
        <v>50</v>
      </c>
      <c r="C425" s="23">
        <v>2.0912500000000001</v>
      </c>
      <c r="D425" s="23">
        <v>2.1316299999999999</v>
      </c>
      <c r="E425" s="23">
        <v>2.0572499999999998</v>
      </c>
      <c r="F425" s="23">
        <v>2.12</v>
      </c>
      <c r="G425" s="23">
        <v>2.1123799999999999</v>
      </c>
      <c r="H425" s="23">
        <v>1.98725</v>
      </c>
      <c r="I425" s="23">
        <v>1.8968799999999999</v>
      </c>
    </row>
    <row r="426" spans="1:9" s="21" customFormat="1" ht="20.100000000000001" customHeight="1" x14ac:dyDescent="0.2">
      <c r="A426" s="22">
        <v>43713</v>
      </c>
      <c r="B426" s="23" t="s">
        <v>51</v>
      </c>
      <c r="C426" s="23">
        <v>2.0976300000000001</v>
      </c>
      <c r="D426" s="23">
        <v>2.1276299999999999</v>
      </c>
      <c r="E426" s="23">
        <v>2.0421299999999998</v>
      </c>
      <c r="F426" s="23">
        <v>2.1095000000000002</v>
      </c>
      <c r="G426" s="23">
        <v>2.1021299999999998</v>
      </c>
      <c r="H426" s="23">
        <v>1.9884999999999999</v>
      </c>
      <c r="I426" s="23">
        <v>1.891</v>
      </c>
    </row>
    <row r="427" spans="1:9" s="21" customFormat="1" ht="20.100000000000001" customHeight="1" x14ac:dyDescent="0.2">
      <c r="A427" s="22">
        <v>43714</v>
      </c>
      <c r="B427" s="23" t="s">
        <v>52</v>
      </c>
      <c r="C427" s="23">
        <v>2.0947499999999999</v>
      </c>
      <c r="D427" s="23">
        <v>2.1315</v>
      </c>
      <c r="E427" s="23">
        <v>2.0489999999999999</v>
      </c>
      <c r="F427" s="23">
        <v>2.1444999999999999</v>
      </c>
      <c r="G427" s="23">
        <v>2.1341299999999999</v>
      </c>
      <c r="H427" s="23">
        <v>2.0341300000000002</v>
      </c>
      <c r="I427" s="23">
        <v>1.9490000000000001</v>
      </c>
    </row>
    <row r="428" spans="1:9" s="21" customFormat="1" ht="20.100000000000001" customHeight="1" x14ac:dyDescent="0.2">
      <c r="A428" s="22">
        <v>43717</v>
      </c>
      <c r="B428" s="23" t="s">
        <v>53</v>
      </c>
      <c r="C428" s="23">
        <v>2.09388</v>
      </c>
      <c r="D428" s="23">
        <v>2.1326299999999998</v>
      </c>
      <c r="E428" s="23">
        <v>2.0495000000000001</v>
      </c>
      <c r="F428" s="23">
        <v>2.1453799999999998</v>
      </c>
      <c r="G428" s="23">
        <v>2.1383800000000002</v>
      </c>
      <c r="H428" s="23">
        <v>2.0356299999999998</v>
      </c>
      <c r="I428" s="23">
        <v>1.94875</v>
      </c>
    </row>
    <row r="429" spans="1:9" s="21" customFormat="1" ht="20.100000000000001" customHeight="1" x14ac:dyDescent="0.2">
      <c r="A429" s="22">
        <v>43718</v>
      </c>
      <c r="B429" s="23" t="s">
        <v>49</v>
      </c>
      <c r="C429" s="23">
        <v>2.0924999999999998</v>
      </c>
      <c r="D429" s="23">
        <v>2.1281300000000001</v>
      </c>
      <c r="E429" s="23">
        <v>2.0386299999999999</v>
      </c>
      <c r="F429" s="23">
        <v>2.1283799999999999</v>
      </c>
      <c r="G429" s="23">
        <v>2.1316299999999999</v>
      </c>
      <c r="H429" s="23">
        <v>2.0351300000000001</v>
      </c>
      <c r="I429" s="23">
        <v>1.97038</v>
      </c>
    </row>
    <row r="430" spans="1:9" s="21" customFormat="1" ht="20.100000000000001" customHeight="1" x14ac:dyDescent="0.2">
      <c r="A430" s="22">
        <v>43719</v>
      </c>
      <c r="B430" s="23" t="s">
        <v>50</v>
      </c>
      <c r="C430" s="23">
        <v>2.0945</v>
      </c>
      <c r="D430" s="23">
        <v>2.10425</v>
      </c>
      <c r="E430" s="23">
        <v>2.0358800000000001</v>
      </c>
      <c r="F430" s="23">
        <v>2.12425</v>
      </c>
      <c r="G430" s="23">
        <v>2.1272500000000001</v>
      </c>
      <c r="H430" s="23">
        <v>2.05288</v>
      </c>
      <c r="I430" s="23">
        <v>2.0086300000000001</v>
      </c>
    </row>
    <row r="431" spans="1:9" s="21" customFormat="1" ht="20.100000000000001" customHeight="1" x14ac:dyDescent="0.2">
      <c r="A431" s="22">
        <v>43720</v>
      </c>
      <c r="B431" s="23" t="s">
        <v>51</v>
      </c>
      <c r="C431" s="23">
        <v>2.0882499999999999</v>
      </c>
      <c r="D431" s="23">
        <v>2.06488</v>
      </c>
      <c r="E431" s="23">
        <v>2.0274999999999999</v>
      </c>
      <c r="F431" s="23">
        <v>2.1227499999999999</v>
      </c>
      <c r="G431" s="23">
        <v>2.1185</v>
      </c>
      <c r="H431" s="23">
        <v>2.04725</v>
      </c>
      <c r="I431" s="23">
        <v>2.00563</v>
      </c>
    </row>
    <row r="432" spans="1:9" s="21" customFormat="1" ht="20.100000000000001" customHeight="1" x14ac:dyDescent="0.2">
      <c r="A432" s="22">
        <v>43721</v>
      </c>
      <c r="B432" s="23" t="s">
        <v>52</v>
      </c>
      <c r="C432" s="23">
        <v>2.0947499999999999</v>
      </c>
      <c r="D432" s="23">
        <v>2.0227499999999998</v>
      </c>
      <c r="E432" s="23">
        <v>2.02475</v>
      </c>
      <c r="F432" s="23">
        <v>2.1151300000000002</v>
      </c>
      <c r="G432" s="23">
        <v>2.1393800000000001</v>
      </c>
      <c r="H432" s="23">
        <v>2.0702500000000001</v>
      </c>
      <c r="I432" s="23">
        <v>2.0491299999999999</v>
      </c>
    </row>
    <row r="433" spans="1:9" s="21" customFormat="1" ht="20.100000000000001" customHeight="1" x14ac:dyDescent="0.2">
      <c r="A433" s="22">
        <v>43724</v>
      </c>
      <c r="B433" s="23" t="s">
        <v>53</v>
      </c>
      <c r="C433" s="23">
        <v>2.1116299999999999</v>
      </c>
      <c r="D433" s="23">
        <v>2.0038800000000001</v>
      </c>
      <c r="E433" s="23">
        <v>2.04088</v>
      </c>
      <c r="F433" s="23">
        <v>2.12338</v>
      </c>
      <c r="G433" s="23">
        <v>2.14513</v>
      </c>
      <c r="H433" s="23">
        <v>2.0779999999999998</v>
      </c>
      <c r="I433" s="23">
        <v>2.0696300000000001</v>
      </c>
    </row>
    <row r="434" spans="1:9" s="21" customFormat="1" ht="20.100000000000001" customHeight="1" x14ac:dyDescent="0.2">
      <c r="A434" s="22">
        <v>43725</v>
      </c>
      <c r="B434" s="23" t="s">
        <v>49</v>
      </c>
      <c r="C434" s="23">
        <v>2.1548799999999999</v>
      </c>
      <c r="D434" s="23">
        <v>1.9837499999999999</v>
      </c>
      <c r="E434" s="23">
        <v>2.0569999999999999</v>
      </c>
      <c r="F434" s="23">
        <v>2.14175</v>
      </c>
      <c r="G434" s="23">
        <v>2.1641300000000001</v>
      </c>
      <c r="H434" s="23">
        <v>2.0852499999999998</v>
      </c>
      <c r="I434" s="23">
        <v>2.0653800000000002</v>
      </c>
    </row>
    <row r="435" spans="1:9" s="21" customFormat="1" ht="20.100000000000001" customHeight="1" x14ac:dyDescent="0.2">
      <c r="A435" s="22">
        <v>43726</v>
      </c>
      <c r="B435" s="23" t="s">
        <v>50</v>
      </c>
      <c r="C435" s="23">
        <v>2.1852499999999999</v>
      </c>
      <c r="D435" s="23">
        <v>1.9746300000000001</v>
      </c>
      <c r="E435" s="23">
        <v>2.0442499999999999</v>
      </c>
      <c r="F435" s="23">
        <v>2.1333799999999998</v>
      </c>
      <c r="G435" s="23">
        <v>2.1558799999999998</v>
      </c>
      <c r="H435" s="23">
        <v>2.0815000000000001</v>
      </c>
      <c r="I435" s="23">
        <v>2.0644999999999998</v>
      </c>
    </row>
    <row r="436" spans="1:9" s="21" customFormat="1" ht="20.100000000000001" customHeight="1" x14ac:dyDescent="0.2">
      <c r="A436" s="22">
        <v>43727</v>
      </c>
      <c r="B436" s="23" t="s">
        <v>51</v>
      </c>
      <c r="C436" s="23">
        <v>1.9621299999999999</v>
      </c>
      <c r="D436" s="23">
        <v>1.9419999999999999</v>
      </c>
      <c r="E436" s="23">
        <v>2.0458799999999999</v>
      </c>
      <c r="F436" s="23">
        <v>2.1263800000000002</v>
      </c>
      <c r="G436" s="23">
        <v>2.1588799999999999</v>
      </c>
      <c r="H436" s="23">
        <v>2.0840000000000001</v>
      </c>
      <c r="I436" s="23">
        <v>2.0741299999999998</v>
      </c>
    </row>
    <row r="437" spans="1:9" s="21" customFormat="1" ht="20.100000000000001" customHeight="1" x14ac:dyDescent="0.2">
      <c r="A437" s="22">
        <v>43728</v>
      </c>
      <c r="B437" s="23" t="s">
        <v>52</v>
      </c>
      <c r="C437" s="23">
        <v>1.8685</v>
      </c>
      <c r="D437" s="23">
        <v>1.9453800000000001</v>
      </c>
      <c r="E437" s="23">
        <v>2.0365000000000002</v>
      </c>
      <c r="F437" s="23">
        <v>2.1198800000000002</v>
      </c>
      <c r="G437" s="23">
        <v>2.13463</v>
      </c>
      <c r="H437" s="23">
        <v>2.0703800000000001</v>
      </c>
      <c r="I437" s="23">
        <v>2.0649999999999999</v>
      </c>
    </row>
    <row r="438" spans="1:9" s="21" customFormat="1" ht="20.100000000000001" customHeight="1" x14ac:dyDescent="0.2">
      <c r="A438" s="22">
        <v>43731</v>
      </c>
      <c r="B438" s="23" t="s">
        <v>53</v>
      </c>
      <c r="C438" s="23">
        <v>1.8474999999999999</v>
      </c>
      <c r="D438" s="23">
        <v>1.9292499999999999</v>
      </c>
      <c r="E438" s="23">
        <v>2.0183800000000001</v>
      </c>
      <c r="F438" s="23">
        <v>2.0928800000000001</v>
      </c>
      <c r="G438" s="23">
        <v>2.1062500000000002</v>
      </c>
      <c r="H438" s="23">
        <v>2.0585</v>
      </c>
      <c r="I438" s="23">
        <v>2.0333800000000002</v>
      </c>
    </row>
    <row r="439" spans="1:9" s="21" customFormat="1" ht="20.100000000000001" customHeight="1" x14ac:dyDescent="0.2">
      <c r="A439" s="22">
        <v>43732</v>
      </c>
      <c r="B439" s="23" t="s">
        <v>49</v>
      </c>
      <c r="C439" s="23">
        <v>1.8420000000000001</v>
      </c>
      <c r="D439" s="23">
        <v>1.9161300000000001</v>
      </c>
      <c r="E439" s="23">
        <v>2.0458799999999999</v>
      </c>
      <c r="F439" s="23">
        <v>2.0922499999999999</v>
      </c>
      <c r="G439" s="23">
        <v>2.113</v>
      </c>
      <c r="H439" s="23">
        <v>2.0630000000000002</v>
      </c>
      <c r="I439" s="23">
        <v>2.0292500000000002</v>
      </c>
    </row>
    <row r="440" spans="1:9" s="21" customFormat="1" ht="20.100000000000001" customHeight="1" x14ac:dyDescent="0.2">
      <c r="A440" s="22">
        <v>43733</v>
      </c>
      <c r="B440" s="23" t="s">
        <v>50</v>
      </c>
      <c r="C440" s="23">
        <v>1.8407500000000001</v>
      </c>
      <c r="D440" s="23">
        <v>1.9468799999999999</v>
      </c>
      <c r="E440" s="23">
        <v>2.0536300000000001</v>
      </c>
      <c r="F440" s="23">
        <v>2.0895000000000001</v>
      </c>
      <c r="G440" s="23">
        <v>2.0996299999999999</v>
      </c>
      <c r="H440" s="23">
        <v>2.04413</v>
      </c>
      <c r="I440" s="23">
        <v>1.9850000000000001</v>
      </c>
    </row>
    <row r="441" spans="1:9" s="21" customFormat="1" ht="20.100000000000001" customHeight="1" x14ac:dyDescent="0.2">
      <c r="A441" s="22">
        <v>43734</v>
      </c>
      <c r="B441" s="23" t="s">
        <v>51</v>
      </c>
      <c r="C441" s="23">
        <v>1.82988</v>
      </c>
      <c r="D441" s="23">
        <v>1.9297500000000001</v>
      </c>
      <c r="E441" s="23">
        <v>2.0434999999999999</v>
      </c>
      <c r="F441" s="23">
        <v>2.0865</v>
      </c>
      <c r="G441" s="23">
        <v>2.1043799999999999</v>
      </c>
      <c r="H441" s="23">
        <v>2.0643799999999999</v>
      </c>
      <c r="I441" s="23">
        <v>2.02013</v>
      </c>
    </row>
    <row r="442" spans="1:9" s="21" customFormat="1" ht="20.100000000000001" customHeight="1" x14ac:dyDescent="0.2">
      <c r="A442" s="22">
        <v>43735</v>
      </c>
      <c r="B442" s="23" t="s">
        <v>52</v>
      </c>
      <c r="C442" s="23">
        <v>1.8271299999999999</v>
      </c>
      <c r="D442" s="23">
        <v>1.9132499999999999</v>
      </c>
      <c r="E442" s="23">
        <v>2.0314999999999999</v>
      </c>
      <c r="F442" s="23">
        <v>2.0708799999999998</v>
      </c>
      <c r="G442" s="23">
        <v>2.09863</v>
      </c>
      <c r="H442" s="23">
        <v>2.0630000000000002</v>
      </c>
      <c r="I442" s="23">
        <v>2.04325</v>
      </c>
    </row>
    <row r="443" spans="1:9" s="21" customFormat="1" ht="20.100000000000001" customHeight="1" x14ac:dyDescent="0.2">
      <c r="A443" s="22">
        <v>43738</v>
      </c>
      <c r="B443" s="23" t="s">
        <v>53</v>
      </c>
      <c r="C443" s="23">
        <v>1.8214999999999999</v>
      </c>
      <c r="D443" s="23">
        <v>1.9115</v>
      </c>
      <c r="E443" s="23">
        <v>2.0156299999999998</v>
      </c>
      <c r="F443" s="23">
        <v>2.0653800000000002</v>
      </c>
      <c r="G443" s="23">
        <v>2.0851299999999999</v>
      </c>
      <c r="H443" s="23">
        <v>2.0556299999999998</v>
      </c>
      <c r="I443" s="23">
        <v>2.03213</v>
      </c>
    </row>
    <row r="444" spans="1:9" s="21" customFormat="1" ht="20.100000000000001" customHeight="1" x14ac:dyDescent="0.2">
      <c r="A444" s="22">
        <v>43739</v>
      </c>
      <c r="B444" s="23" t="s">
        <v>49</v>
      </c>
      <c r="C444" s="23">
        <v>1.82613</v>
      </c>
      <c r="D444" s="23">
        <v>1.8927499999999999</v>
      </c>
      <c r="E444" s="23">
        <v>2.0108799999999998</v>
      </c>
      <c r="F444" s="23">
        <v>2.0596299999999998</v>
      </c>
      <c r="G444" s="23">
        <v>2.0886300000000002</v>
      </c>
      <c r="H444" s="23">
        <v>2.0565000000000002</v>
      </c>
      <c r="I444" s="23">
        <v>2.0354999999999999</v>
      </c>
    </row>
    <row r="445" spans="1:9" s="21" customFormat="1" ht="20.100000000000001" customHeight="1" x14ac:dyDescent="0.2">
      <c r="A445" s="22">
        <v>43740</v>
      </c>
      <c r="B445" s="23" t="s">
        <v>50</v>
      </c>
      <c r="C445" s="23">
        <v>1.8512500000000001</v>
      </c>
      <c r="D445" s="23">
        <v>1.89238</v>
      </c>
      <c r="E445" s="23">
        <v>1.99725</v>
      </c>
      <c r="F445" s="23">
        <v>2.0338799999999999</v>
      </c>
      <c r="G445" s="23">
        <v>2.0563799999999999</v>
      </c>
      <c r="H445" s="23">
        <v>2.0169999999999999</v>
      </c>
      <c r="I445" s="23">
        <v>1.95825</v>
      </c>
    </row>
    <row r="446" spans="1:9" s="21" customFormat="1" ht="20.100000000000001" customHeight="1" x14ac:dyDescent="0.2">
      <c r="A446" s="22">
        <v>43741</v>
      </c>
      <c r="B446" s="23" t="s">
        <v>51</v>
      </c>
      <c r="C446" s="23">
        <v>1.8223800000000001</v>
      </c>
      <c r="D446" s="23">
        <v>1.88113</v>
      </c>
      <c r="E446" s="23">
        <v>1.9895</v>
      </c>
      <c r="F446" s="23">
        <v>2.0223800000000001</v>
      </c>
      <c r="G446" s="23">
        <v>2.0431300000000001</v>
      </c>
      <c r="H446" s="23">
        <v>1.9850000000000001</v>
      </c>
      <c r="I446" s="23">
        <v>1.91425</v>
      </c>
    </row>
    <row r="447" spans="1:9" s="21" customFormat="1" ht="20.100000000000001" customHeight="1" x14ac:dyDescent="0.2">
      <c r="A447" s="22">
        <v>43742</v>
      </c>
      <c r="B447" s="23" t="s">
        <v>52</v>
      </c>
      <c r="C447" s="23">
        <v>1.8207500000000001</v>
      </c>
      <c r="D447" s="23">
        <v>1.881</v>
      </c>
      <c r="E447" s="23">
        <v>1.978</v>
      </c>
      <c r="F447" s="23">
        <v>2.0043799999999998</v>
      </c>
      <c r="G447" s="23">
        <v>2.0270000000000001</v>
      </c>
      <c r="H447" s="23">
        <v>1.9506300000000001</v>
      </c>
      <c r="I447" s="23">
        <v>1.8531299999999999</v>
      </c>
    </row>
    <row r="448" spans="1:9" s="21" customFormat="1" ht="20.100000000000001" customHeight="1" x14ac:dyDescent="0.2">
      <c r="A448" s="22">
        <v>43745</v>
      </c>
      <c r="B448" s="23" t="s">
        <v>53</v>
      </c>
      <c r="C448" s="23">
        <v>1.8082499999999999</v>
      </c>
      <c r="D448" s="23">
        <v>1.88313</v>
      </c>
      <c r="E448" s="23">
        <v>1.94025</v>
      </c>
      <c r="F448" s="23">
        <v>2.0021300000000002</v>
      </c>
      <c r="G448" s="23">
        <v>2.012</v>
      </c>
      <c r="H448" s="23">
        <v>1.96038</v>
      </c>
      <c r="I448" s="23">
        <v>1.86775</v>
      </c>
    </row>
    <row r="449" spans="1:9" s="21" customFormat="1" ht="20.100000000000001" customHeight="1" x14ac:dyDescent="0.2">
      <c r="A449" s="22">
        <v>43746</v>
      </c>
      <c r="B449" s="23" t="s">
        <v>49</v>
      </c>
      <c r="C449" s="23">
        <v>1.8055000000000001</v>
      </c>
      <c r="D449" s="23">
        <v>1.8665</v>
      </c>
      <c r="E449" s="23">
        <v>1.93875</v>
      </c>
      <c r="F449" s="23">
        <v>1.9986299999999999</v>
      </c>
      <c r="G449" s="23">
        <v>2.0095000000000001</v>
      </c>
      <c r="H449" s="23">
        <v>1.9633799999999999</v>
      </c>
      <c r="I449" s="23">
        <v>1.8885000000000001</v>
      </c>
    </row>
    <row r="450" spans="1:9" s="21" customFormat="1" ht="20.100000000000001" customHeight="1" x14ac:dyDescent="0.2">
      <c r="A450" s="22">
        <v>43747</v>
      </c>
      <c r="B450" s="23" t="s">
        <v>50</v>
      </c>
      <c r="C450" s="23">
        <v>1.79</v>
      </c>
      <c r="D450" s="23">
        <v>1.8772500000000001</v>
      </c>
      <c r="E450" s="23">
        <v>1.9273800000000001</v>
      </c>
      <c r="F450" s="23">
        <v>1.9784999999999999</v>
      </c>
      <c r="G450" s="23">
        <v>1.9842500000000001</v>
      </c>
      <c r="H450" s="23">
        <v>1.94275</v>
      </c>
      <c r="I450" s="23">
        <v>1.88188</v>
      </c>
    </row>
    <row r="451" spans="1:9" s="21" customFormat="1" ht="20.100000000000001" customHeight="1" x14ac:dyDescent="0.2">
      <c r="A451" s="22">
        <v>43748</v>
      </c>
      <c r="B451" s="23" t="s">
        <v>51</v>
      </c>
      <c r="C451" s="23">
        <v>1.7926299999999999</v>
      </c>
      <c r="D451" s="23">
        <v>1.863</v>
      </c>
      <c r="E451" s="23">
        <v>1.9212499999999999</v>
      </c>
      <c r="F451" s="23">
        <v>1.9653799999999999</v>
      </c>
      <c r="G451" s="23">
        <v>1.98613</v>
      </c>
      <c r="H451" s="23">
        <v>1.9355</v>
      </c>
      <c r="I451" s="23">
        <v>1.8959999999999999</v>
      </c>
    </row>
    <row r="452" spans="1:9" s="21" customFormat="1" ht="20.100000000000001" customHeight="1" x14ac:dyDescent="0.2">
      <c r="A452" s="22">
        <v>43749</v>
      </c>
      <c r="B452" s="23" t="s">
        <v>52</v>
      </c>
      <c r="C452" s="23">
        <v>1.79888</v>
      </c>
      <c r="D452" s="23">
        <v>1.86575</v>
      </c>
      <c r="E452" s="23">
        <v>1.9135</v>
      </c>
      <c r="F452" s="23">
        <v>1.9746300000000001</v>
      </c>
      <c r="G452" s="23">
        <v>2.00088</v>
      </c>
      <c r="H452" s="23">
        <v>1.97563</v>
      </c>
      <c r="I452" s="23">
        <v>1.9555</v>
      </c>
    </row>
    <row r="453" spans="1:9" s="21" customFormat="1" ht="20.100000000000001" customHeight="1" x14ac:dyDescent="0.2">
      <c r="A453" s="22">
        <v>43752</v>
      </c>
      <c r="B453" s="23" t="s">
        <v>53</v>
      </c>
      <c r="C453" s="23"/>
      <c r="D453" s="23">
        <v>1.8660000000000001</v>
      </c>
      <c r="E453" s="23">
        <v>1.8907499999999999</v>
      </c>
      <c r="F453" s="23">
        <v>1.9655</v>
      </c>
      <c r="G453" s="23">
        <v>2.00088</v>
      </c>
      <c r="H453" s="23">
        <v>1.978</v>
      </c>
      <c r="I453" s="23">
        <v>1.9731300000000001</v>
      </c>
    </row>
    <row r="454" spans="1:9" s="21" customFormat="1" ht="20.100000000000001" customHeight="1" x14ac:dyDescent="0.2">
      <c r="A454" s="22">
        <v>43753</v>
      </c>
      <c r="B454" s="23" t="s">
        <v>49</v>
      </c>
      <c r="C454" s="23">
        <v>1.7951299999999999</v>
      </c>
      <c r="D454" s="23">
        <v>1.8531299999999999</v>
      </c>
      <c r="E454" s="23">
        <v>1.88913</v>
      </c>
      <c r="F454" s="23">
        <v>1.9673799999999999</v>
      </c>
      <c r="G454" s="23">
        <v>2.0021300000000002</v>
      </c>
      <c r="H454" s="23">
        <v>1.97725</v>
      </c>
      <c r="I454" s="23">
        <v>1.9741299999999999</v>
      </c>
    </row>
    <row r="455" spans="1:9" s="21" customFormat="1" ht="20.100000000000001" customHeight="1" x14ac:dyDescent="0.2">
      <c r="A455" s="22">
        <v>43754</v>
      </c>
      <c r="B455" s="23" t="s">
        <v>50</v>
      </c>
      <c r="C455" s="23">
        <v>1.82575</v>
      </c>
      <c r="D455" s="23">
        <v>1.8511299999999999</v>
      </c>
      <c r="E455" s="23">
        <v>1.8774999999999999</v>
      </c>
      <c r="F455" s="23">
        <v>1.9646300000000001</v>
      </c>
      <c r="G455" s="23">
        <v>2.00325</v>
      </c>
      <c r="H455" s="23">
        <v>1.9858800000000001</v>
      </c>
      <c r="I455" s="23">
        <v>1.9922500000000001</v>
      </c>
    </row>
    <row r="456" spans="1:9" s="21" customFormat="1" ht="20.100000000000001" customHeight="1" x14ac:dyDescent="0.2">
      <c r="A456" s="22">
        <v>43755</v>
      </c>
      <c r="B456" s="23" t="s">
        <v>51</v>
      </c>
      <c r="C456" s="23">
        <v>1.83813</v>
      </c>
      <c r="D456" s="23">
        <v>1.85263</v>
      </c>
      <c r="E456" s="23">
        <v>1.8463799999999999</v>
      </c>
      <c r="F456" s="23">
        <v>1.9348799999999999</v>
      </c>
      <c r="G456" s="23">
        <v>1.9658800000000001</v>
      </c>
      <c r="H456" s="23">
        <v>1.9744999999999999</v>
      </c>
      <c r="I456" s="23">
        <v>1.9931300000000001</v>
      </c>
    </row>
    <row r="457" spans="1:9" s="21" customFormat="1" ht="20.100000000000001" customHeight="1" x14ac:dyDescent="0.2">
      <c r="A457" s="22">
        <v>43756</v>
      </c>
      <c r="B457" s="23" t="s">
        <v>52</v>
      </c>
      <c r="C457" s="23">
        <v>1.8151299999999999</v>
      </c>
      <c r="D457" s="23">
        <v>1.8463799999999999</v>
      </c>
      <c r="E457" s="23">
        <v>1.85025</v>
      </c>
      <c r="F457" s="23">
        <v>1.9275</v>
      </c>
      <c r="G457" s="23">
        <v>1.9532499999999999</v>
      </c>
      <c r="H457" s="23">
        <v>1.9517500000000001</v>
      </c>
      <c r="I457" s="23">
        <v>1.98725</v>
      </c>
    </row>
    <row r="458" spans="1:9" s="21" customFormat="1" ht="20.100000000000001" customHeight="1" x14ac:dyDescent="0.2">
      <c r="A458" s="22">
        <v>43759</v>
      </c>
      <c r="B458" s="23" t="s">
        <v>53</v>
      </c>
      <c r="C458" s="23">
        <v>1.8111299999999999</v>
      </c>
      <c r="D458" s="23">
        <v>1.84375</v>
      </c>
      <c r="E458" s="23">
        <v>1.823</v>
      </c>
      <c r="F458" s="23">
        <v>1.8975</v>
      </c>
      <c r="G458" s="23">
        <v>1.9339999999999999</v>
      </c>
      <c r="H458" s="23">
        <v>1.93425</v>
      </c>
      <c r="I458" s="23">
        <v>1.9606300000000001</v>
      </c>
    </row>
    <row r="459" spans="1:9" s="21" customFormat="1" ht="20.100000000000001" customHeight="1" x14ac:dyDescent="0.2">
      <c r="A459" s="22">
        <v>43760</v>
      </c>
      <c r="B459" s="23" t="s">
        <v>49</v>
      </c>
      <c r="C459" s="23">
        <v>1.81288</v>
      </c>
      <c r="D459" s="23">
        <v>1.8451299999999999</v>
      </c>
      <c r="E459" s="23">
        <v>1.82175</v>
      </c>
      <c r="F459" s="23">
        <v>1.88463</v>
      </c>
      <c r="G459" s="23">
        <v>1.9359999999999999</v>
      </c>
      <c r="H459" s="23">
        <v>1.9325000000000001</v>
      </c>
      <c r="I459" s="23">
        <v>1.9672499999999999</v>
      </c>
    </row>
    <row r="460" spans="1:9" s="21" customFormat="1" ht="20.100000000000001" customHeight="1" x14ac:dyDescent="0.2">
      <c r="A460" s="22">
        <v>43761</v>
      </c>
      <c r="B460" s="23" t="s">
        <v>50</v>
      </c>
      <c r="C460" s="23">
        <v>1.8140000000000001</v>
      </c>
      <c r="D460" s="23">
        <v>1.83575</v>
      </c>
      <c r="E460" s="23">
        <v>1.8227500000000001</v>
      </c>
      <c r="F460" s="23">
        <v>1.8976299999999999</v>
      </c>
      <c r="G460" s="23">
        <v>1.93963</v>
      </c>
      <c r="H460" s="23">
        <v>1.9139999999999999</v>
      </c>
      <c r="I460" s="23">
        <v>1.94275</v>
      </c>
    </row>
    <row r="461" spans="1:9" s="21" customFormat="1" ht="20.100000000000001" customHeight="1" x14ac:dyDescent="0.2">
      <c r="A461" s="22">
        <v>43762</v>
      </c>
      <c r="B461" s="23" t="s">
        <v>51</v>
      </c>
      <c r="C461" s="23">
        <v>1.8027500000000001</v>
      </c>
      <c r="D461" s="23">
        <v>1.8134999999999999</v>
      </c>
      <c r="E461" s="23">
        <v>1.8042499999999999</v>
      </c>
      <c r="F461" s="23">
        <v>1.88575</v>
      </c>
      <c r="G461" s="23">
        <v>1.93563</v>
      </c>
      <c r="H461" s="23">
        <v>1.9319999999999999</v>
      </c>
      <c r="I461" s="23">
        <v>1.96088</v>
      </c>
    </row>
    <row r="462" spans="1:9" s="21" customFormat="1" ht="20.100000000000001" customHeight="1" x14ac:dyDescent="0.2">
      <c r="A462" s="22">
        <v>43763</v>
      </c>
      <c r="B462" s="23" t="s">
        <v>52</v>
      </c>
      <c r="C462" s="23">
        <v>1.806</v>
      </c>
      <c r="D462" s="23">
        <v>1.7862499999999999</v>
      </c>
      <c r="E462" s="23">
        <v>1.80488</v>
      </c>
      <c r="F462" s="23">
        <v>1.881</v>
      </c>
      <c r="G462" s="23">
        <v>1.9281299999999999</v>
      </c>
      <c r="H462" s="23">
        <v>1.9332499999999999</v>
      </c>
      <c r="I462" s="23">
        <v>1.9557500000000001</v>
      </c>
    </row>
    <row r="463" spans="1:9" s="21" customFormat="1" ht="20.100000000000001" customHeight="1" x14ac:dyDescent="0.2">
      <c r="A463" s="22">
        <v>43766</v>
      </c>
      <c r="B463" s="23" t="s">
        <v>53</v>
      </c>
      <c r="C463" s="23">
        <v>1.8016300000000001</v>
      </c>
      <c r="D463" s="23">
        <v>1.75125</v>
      </c>
      <c r="E463" s="23">
        <v>1.7996300000000001</v>
      </c>
      <c r="F463" s="23">
        <v>1.88263</v>
      </c>
      <c r="G463" s="23">
        <v>1.9355</v>
      </c>
      <c r="H463" s="23">
        <v>1.93988</v>
      </c>
      <c r="I463" s="23">
        <v>1.99525</v>
      </c>
    </row>
    <row r="464" spans="1:9" s="21" customFormat="1" ht="20.100000000000001" customHeight="1" x14ac:dyDescent="0.2">
      <c r="A464" s="22">
        <v>43767</v>
      </c>
      <c r="B464" s="23" t="s">
        <v>49</v>
      </c>
      <c r="C464" s="23">
        <v>1.8009999999999999</v>
      </c>
      <c r="D464" s="23">
        <v>1.71038</v>
      </c>
      <c r="E464" s="23">
        <v>1.7858799999999999</v>
      </c>
      <c r="F464" s="23">
        <v>1.86313</v>
      </c>
      <c r="G464" s="23">
        <v>1.92713</v>
      </c>
      <c r="H464" s="23">
        <v>1.92988</v>
      </c>
      <c r="I464" s="23">
        <v>1.98875</v>
      </c>
    </row>
    <row r="465" spans="1:9" s="21" customFormat="1" ht="20.100000000000001" customHeight="1" x14ac:dyDescent="0.2">
      <c r="A465" s="22">
        <v>43768</v>
      </c>
      <c r="B465" s="23" t="s">
        <v>50</v>
      </c>
      <c r="C465" s="23">
        <v>1.8043800000000001</v>
      </c>
      <c r="D465" s="23">
        <v>1.68</v>
      </c>
      <c r="E465" s="23">
        <v>1.78138</v>
      </c>
      <c r="F465" s="23">
        <v>1.859</v>
      </c>
      <c r="G465" s="23">
        <v>1.90913</v>
      </c>
      <c r="H465" s="23">
        <v>1.9195</v>
      </c>
      <c r="I465" s="23">
        <v>1.9798800000000001</v>
      </c>
    </row>
    <row r="466" spans="1:9" s="21" customFormat="1" ht="20.100000000000001" customHeight="1" x14ac:dyDescent="0.2">
      <c r="A466" s="22">
        <v>43769</v>
      </c>
      <c r="B466" s="23" t="s">
        <v>51</v>
      </c>
      <c r="C466" s="23">
        <v>1.59988</v>
      </c>
      <c r="D466" s="23">
        <v>1.659</v>
      </c>
      <c r="E466" s="23">
        <v>1.78488</v>
      </c>
      <c r="F466" s="23">
        <v>1.84</v>
      </c>
      <c r="G466" s="23">
        <v>1.90225</v>
      </c>
      <c r="H466" s="23">
        <v>1.91625</v>
      </c>
      <c r="I466" s="23">
        <v>1.9553799999999999</v>
      </c>
    </row>
    <row r="467" spans="1:9" s="21" customFormat="1" ht="20.100000000000001" customHeight="1" x14ac:dyDescent="0.2">
      <c r="A467" s="22">
        <v>43770</v>
      </c>
      <c r="B467" s="23" t="s">
        <v>52</v>
      </c>
      <c r="C467" s="23">
        <v>1.59213</v>
      </c>
      <c r="D467" s="23">
        <v>1.6316299999999999</v>
      </c>
      <c r="E467" s="23">
        <v>1.7742500000000001</v>
      </c>
      <c r="F467" s="23">
        <v>1.8388800000000001</v>
      </c>
      <c r="G467" s="23">
        <v>1.8905000000000001</v>
      </c>
      <c r="H467" s="23">
        <v>1.90238</v>
      </c>
      <c r="I467" s="23">
        <v>1.9252499999999999</v>
      </c>
    </row>
    <row r="468" spans="1:9" s="21" customFormat="1" ht="20.100000000000001" customHeight="1" x14ac:dyDescent="0.2">
      <c r="A468" s="22">
        <v>43773</v>
      </c>
      <c r="B468" s="23" t="s">
        <v>53</v>
      </c>
      <c r="C468" s="23">
        <v>1.55088</v>
      </c>
      <c r="D468" s="23">
        <v>1.6261300000000001</v>
      </c>
      <c r="E468" s="23">
        <v>1.7709999999999999</v>
      </c>
      <c r="F468" s="23">
        <v>1.85338</v>
      </c>
      <c r="G468" s="23">
        <v>1.90825</v>
      </c>
      <c r="H468" s="23">
        <v>1.9246300000000001</v>
      </c>
      <c r="I468" s="23">
        <v>1.96</v>
      </c>
    </row>
    <row r="469" spans="1:9" s="21" customFormat="1" ht="20.100000000000001" customHeight="1" x14ac:dyDescent="0.2">
      <c r="A469" s="22">
        <v>43774</v>
      </c>
      <c r="B469" s="23" t="s">
        <v>49</v>
      </c>
      <c r="C469" s="23">
        <v>1.5471299999999999</v>
      </c>
      <c r="D469" s="23">
        <v>1.6168800000000001</v>
      </c>
      <c r="E469" s="23">
        <v>1.7698799999999999</v>
      </c>
      <c r="F469" s="23">
        <v>1.85463</v>
      </c>
      <c r="G469" s="23">
        <v>1.8935</v>
      </c>
      <c r="H469" s="23">
        <v>1.92625</v>
      </c>
      <c r="I469" s="23">
        <v>1.96688</v>
      </c>
    </row>
    <row r="470" spans="1:9" s="21" customFormat="1" ht="20.100000000000001" customHeight="1" x14ac:dyDescent="0.2">
      <c r="A470" s="22">
        <v>43775</v>
      </c>
      <c r="B470" s="23" t="s">
        <v>50</v>
      </c>
      <c r="C470" s="23">
        <v>1.5365</v>
      </c>
      <c r="D470" s="23">
        <v>1.61338</v>
      </c>
      <c r="E470" s="23">
        <v>1.7549999999999999</v>
      </c>
      <c r="F470" s="23">
        <v>1.8452500000000001</v>
      </c>
      <c r="G470" s="23">
        <v>1.90425</v>
      </c>
      <c r="H470" s="23">
        <v>1.92388</v>
      </c>
      <c r="I470" s="23">
        <v>1.9766300000000001</v>
      </c>
    </row>
    <row r="471" spans="1:9" s="21" customFormat="1" ht="20.100000000000001" customHeight="1" x14ac:dyDescent="0.2">
      <c r="A471" s="22">
        <v>43776</v>
      </c>
      <c r="B471" s="23" t="s">
        <v>51</v>
      </c>
      <c r="C471" s="23">
        <v>1.5436300000000001</v>
      </c>
      <c r="D471" s="23">
        <v>1.61375</v>
      </c>
      <c r="E471" s="23">
        <v>1.758</v>
      </c>
      <c r="F471" s="23">
        <v>1.8467499999999999</v>
      </c>
      <c r="G471" s="23">
        <v>1.9013800000000001</v>
      </c>
      <c r="H471" s="23">
        <v>1.9226300000000001</v>
      </c>
      <c r="I471" s="23">
        <v>1.9830000000000001</v>
      </c>
    </row>
    <row r="472" spans="1:9" s="21" customFormat="1" ht="20.100000000000001" customHeight="1" x14ac:dyDescent="0.2">
      <c r="A472" s="22">
        <v>43777</v>
      </c>
      <c r="B472" s="23" t="s">
        <v>52</v>
      </c>
      <c r="C472" s="23">
        <v>1.5386299999999999</v>
      </c>
      <c r="D472" s="23">
        <v>1.61225</v>
      </c>
      <c r="E472" s="23">
        <v>1.7589999999999999</v>
      </c>
      <c r="F472" s="23">
        <v>1.85</v>
      </c>
      <c r="G472" s="23">
        <v>1.90063</v>
      </c>
      <c r="H472" s="23">
        <v>1.923</v>
      </c>
      <c r="I472" s="23">
        <v>1.9997499999999999</v>
      </c>
    </row>
    <row r="473" spans="1:9" s="21" customFormat="1" ht="20.100000000000001" customHeight="1" x14ac:dyDescent="0.2">
      <c r="A473" s="22">
        <v>43780</v>
      </c>
      <c r="B473" s="23" t="s">
        <v>53</v>
      </c>
      <c r="C473" s="23"/>
      <c r="D473" s="23">
        <v>1.6063799999999999</v>
      </c>
      <c r="E473" s="23">
        <v>1.76325</v>
      </c>
      <c r="F473" s="23">
        <v>1.8385</v>
      </c>
      <c r="G473" s="23">
        <v>1.90463</v>
      </c>
      <c r="H473" s="23">
        <v>1.923</v>
      </c>
      <c r="I473" s="23">
        <v>1.99413</v>
      </c>
    </row>
    <row r="474" spans="1:9" s="21" customFormat="1" ht="20.100000000000001" customHeight="1" x14ac:dyDescent="0.2">
      <c r="A474" s="22">
        <v>43781</v>
      </c>
      <c r="B474" s="23" t="s">
        <v>49</v>
      </c>
      <c r="C474" s="23">
        <v>1.53925</v>
      </c>
      <c r="D474" s="23">
        <v>1.5971299999999999</v>
      </c>
      <c r="E474" s="23">
        <v>1.76163</v>
      </c>
      <c r="F474" s="23">
        <v>1.84188</v>
      </c>
      <c r="G474" s="23">
        <v>1.9092499999999999</v>
      </c>
      <c r="H474" s="23">
        <v>1.9261299999999999</v>
      </c>
      <c r="I474" s="23">
        <v>2.00563</v>
      </c>
    </row>
    <row r="475" spans="1:9" s="21" customFormat="1" ht="20.100000000000001" customHeight="1" x14ac:dyDescent="0.2">
      <c r="A475" s="22">
        <v>43782</v>
      </c>
      <c r="B475" s="23" t="s">
        <v>50</v>
      </c>
      <c r="C475" s="23">
        <v>1.5389999999999999</v>
      </c>
      <c r="D475" s="23">
        <v>1.59863</v>
      </c>
      <c r="E475" s="23">
        <v>1.7653799999999999</v>
      </c>
      <c r="F475" s="23">
        <v>1.84575</v>
      </c>
      <c r="G475" s="23">
        <v>1.90988</v>
      </c>
      <c r="H475" s="23">
        <v>1.92225</v>
      </c>
      <c r="I475" s="23">
        <v>1.9870000000000001</v>
      </c>
    </row>
    <row r="476" spans="1:9" s="21" customFormat="1" ht="20.100000000000001" customHeight="1" x14ac:dyDescent="0.2">
      <c r="A476" s="22">
        <v>43783</v>
      </c>
      <c r="B476" s="23" t="s">
        <v>51</v>
      </c>
      <c r="C476" s="23">
        <v>1.5269999999999999</v>
      </c>
      <c r="D476" s="23">
        <v>1.5808800000000001</v>
      </c>
      <c r="E476" s="23">
        <v>1.7625</v>
      </c>
      <c r="F476" s="23">
        <v>1.8407500000000001</v>
      </c>
      <c r="G476" s="23">
        <v>1.9041300000000001</v>
      </c>
      <c r="H476" s="23">
        <v>1.9216299999999999</v>
      </c>
      <c r="I476" s="23">
        <v>1.97113</v>
      </c>
    </row>
    <row r="477" spans="1:9" s="21" customFormat="1" ht="20.100000000000001" customHeight="1" x14ac:dyDescent="0.2">
      <c r="A477" s="22">
        <v>43784</v>
      </c>
      <c r="B477" s="23" t="s">
        <v>52</v>
      </c>
      <c r="C477" s="23">
        <v>1.5367500000000001</v>
      </c>
      <c r="D477" s="23">
        <v>1.5791299999999999</v>
      </c>
      <c r="E477" s="23">
        <v>1.73325</v>
      </c>
      <c r="F477" s="23">
        <v>1.8325</v>
      </c>
      <c r="G477" s="23">
        <v>1.90263</v>
      </c>
      <c r="H477" s="23">
        <v>1.9185000000000001</v>
      </c>
      <c r="I477" s="23">
        <v>1.9610000000000001</v>
      </c>
    </row>
    <row r="478" spans="1:9" s="21" customFormat="1" ht="20.100000000000001" customHeight="1" x14ac:dyDescent="0.2">
      <c r="A478" s="22">
        <v>43787</v>
      </c>
      <c r="B478" s="23" t="s">
        <v>53</v>
      </c>
      <c r="C478" s="23">
        <v>1.53538</v>
      </c>
      <c r="D478" s="23">
        <v>1.591</v>
      </c>
      <c r="E478" s="23">
        <v>1.72363</v>
      </c>
      <c r="F478" s="23">
        <v>1.8360000000000001</v>
      </c>
      <c r="G478" s="23">
        <v>1.8985000000000001</v>
      </c>
      <c r="H478" s="23">
        <v>1.9188799999999999</v>
      </c>
      <c r="I478" s="23">
        <v>1.9533799999999999</v>
      </c>
    </row>
    <row r="479" spans="1:9" s="21" customFormat="1" ht="20.100000000000001" customHeight="1" x14ac:dyDescent="0.2">
      <c r="A479" s="22">
        <v>43788</v>
      </c>
      <c r="B479" s="23" t="s">
        <v>49</v>
      </c>
      <c r="C479" s="23">
        <v>1.53688</v>
      </c>
      <c r="D479" s="23">
        <v>1.58775</v>
      </c>
      <c r="E479" s="23">
        <v>1.72163</v>
      </c>
      <c r="F479" s="23">
        <v>1.8367500000000001</v>
      </c>
      <c r="G479" s="23">
        <v>1.89463</v>
      </c>
      <c r="H479" s="23">
        <v>1.907</v>
      </c>
      <c r="I479" s="23">
        <v>1.94163</v>
      </c>
    </row>
    <row r="480" spans="1:9" s="21" customFormat="1" ht="20.100000000000001" customHeight="1" x14ac:dyDescent="0.2">
      <c r="A480" s="22">
        <v>43789</v>
      </c>
      <c r="B480" s="23" t="s">
        <v>50</v>
      </c>
      <c r="C480" s="23">
        <v>1.5289999999999999</v>
      </c>
      <c r="D480" s="23">
        <v>1.5847500000000001</v>
      </c>
      <c r="E480" s="23">
        <v>1.71563</v>
      </c>
      <c r="F480" s="23">
        <v>1.8334999999999999</v>
      </c>
      <c r="G480" s="23">
        <v>1.8987499999999999</v>
      </c>
      <c r="H480" s="23">
        <v>1.89113</v>
      </c>
      <c r="I480" s="23">
        <v>1.9092499999999999</v>
      </c>
    </row>
    <row r="481" spans="1:9" s="21" customFormat="1" ht="20.100000000000001" customHeight="1" x14ac:dyDescent="0.2">
      <c r="A481" s="22">
        <v>43790</v>
      </c>
      <c r="B481" s="23" t="s">
        <v>51</v>
      </c>
      <c r="C481" s="23">
        <v>1.54138</v>
      </c>
      <c r="D481" s="23">
        <v>1.5840000000000001</v>
      </c>
      <c r="E481" s="23">
        <v>1.708</v>
      </c>
      <c r="F481" s="23">
        <v>1.841</v>
      </c>
      <c r="G481" s="23">
        <v>1.9095</v>
      </c>
      <c r="H481" s="23">
        <v>1.8935</v>
      </c>
      <c r="I481" s="23">
        <v>1.90863</v>
      </c>
    </row>
    <row r="482" spans="1:9" s="21" customFormat="1" ht="20.100000000000001" customHeight="1" x14ac:dyDescent="0.2">
      <c r="A482" s="22">
        <v>43791</v>
      </c>
      <c r="B482" s="23" t="s">
        <v>52</v>
      </c>
      <c r="C482" s="23">
        <v>1.5338799999999999</v>
      </c>
      <c r="D482" s="23">
        <v>1.58975</v>
      </c>
      <c r="E482" s="23">
        <v>1.70275</v>
      </c>
      <c r="F482" s="23">
        <v>1.8367500000000001</v>
      </c>
      <c r="G482" s="23">
        <v>1.9172499999999999</v>
      </c>
      <c r="H482" s="23">
        <v>1.9072499999999999</v>
      </c>
      <c r="I482" s="23">
        <v>1.9148799999999999</v>
      </c>
    </row>
    <row r="483" spans="1:9" s="21" customFormat="1" ht="20.100000000000001" customHeight="1" x14ac:dyDescent="0.2">
      <c r="A483" s="22">
        <v>43794</v>
      </c>
      <c r="B483" s="23" t="s">
        <v>53</v>
      </c>
      <c r="C483" s="23">
        <v>1.53613</v>
      </c>
      <c r="D483" s="23">
        <v>1.597</v>
      </c>
      <c r="E483" s="23">
        <v>1.6995</v>
      </c>
      <c r="F483" s="23">
        <v>1.8420000000000001</v>
      </c>
      <c r="G483" s="23">
        <v>1.9186300000000001</v>
      </c>
      <c r="H483" s="23">
        <v>1.91913</v>
      </c>
      <c r="I483" s="23">
        <v>1.9417500000000001</v>
      </c>
    </row>
    <row r="484" spans="1:9" s="21" customFormat="1" ht="20.100000000000001" customHeight="1" x14ac:dyDescent="0.2">
      <c r="A484" s="22">
        <v>43795</v>
      </c>
      <c r="B484" s="23" t="s">
        <v>49</v>
      </c>
      <c r="C484" s="23">
        <v>1.538</v>
      </c>
      <c r="D484" s="23">
        <v>1.5981300000000001</v>
      </c>
      <c r="E484" s="23">
        <v>1.70163</v>
      </c>
      <c r="F484" s="23">
        <v>1.8436300000000001</v>
      </c>
      <c r="G484" s="23">
        <v>1.90863</v>
      </c>
      <c r="H484" s="23">
        <v>1.91425</v>
      </c>
      <c r="I484" s="23">
        <v>1.94163</v>
      </c>
    </row>
    <row r="485" spans="1:9" s="21" customFormat="1" ht="20.100000000000001" customHeight="1" x14ac:dyDescent="0.2">
      <c r="A485" s="22">
        <v>43796</v>
      </c>
      <c r="B485" s="23" t="s">
        <v>50</v>
      </c>
      <c r="C485" s="23">
        <v>1.5396300000000001</v>
      </c>
      <c r="D485" s="23">
        <v>1.5888800000000001</v>
      </c>
      <c r="E485" s="23">
        <v>1.69113</v>
      </c>
      <c r="F485" s="23">
        <v>1.83463</v>
      </c>
      <c r="G485" s="23">
        <v>1.9137500000000001</v>
      </c>
      <c r="H485" s="23">
        <v>1.9068799999999999</v>
      </c>
      <c r="I485" s="23">
        <v>1.9397500000000001</v>
      </c>
    </row>
    <row r="486" spans="1:9" s="21" customFormat="1" ht="20.100000000000001" customHeight="1" x14ac:dyDescent="0.2">
      <c r="A486" s="22">
        <v>43797</v>
      </c>
      <c r="B486" s="23" t="s">
        <v>51</v>
      </c>
      <c r="C486" s="23"/>
      <c r="D486" s="23">
        <v>1.5862499999999999</v>
      </c>
      <c r="E486" s="23">
        <v>1.7084999999999999</v>
      </c>
      <c r="F486" s="23">
        <v>1.83575</v>
      </c>
      <c r="G486" s="23">
        <v>1.9068799999999999</v>
      </c>
      <c r="H486" s="23">
        <v>1.89513</v>
      </c>
      <c r="I486" s="23">
        <v>1.95025</v>
      </c>
    </row>
    <row r="487" spans="1:9" s="21" customFormat="1" ht="20.100000000000001" customHeight="1" x14ac:dyDescent="0.2">
      <c r="A487" s="22">
        <v>43798</v>
      </c>
      <c r="B487" s="23" t="s">
        <v>52</v>
      </c>
      <c r="C487" s="23">
        <v>1.5425</v>
      </c>
      <c r="D487" s="23">
        <v>1.5865</v>
      </c>
      <c r="E487" s="23">
        <v>1.69713</v>
      </c>
      <c r="F487" s="23">
        <v>1.83988</v>
      </c>
      <c r="G487" s="23">
        <v>1.9055</v>
      </c>
      <c r="H487" s="23">
        <v>1.8968799999999999</v>
      </c>
      <c r="I487" s="23">
        <v>1.9521299999999999</v>
      </c>
    </row>
    <row r="488" spans="1:9" s="21" customFormat="1" ht="20.100000000000001" customHeight="1" x14ac:dyDescent="0.2">
      <c r="A488" s="22">
        <v>43801</v>
      </c>
      <c r="B488" s="23" t="s">
        <v>53</v>
      </c>
      <c r="C488" s="23">
        <v>1.5406299999999999</v>
      </c>
      <c r="D488" s="23">
        <v>1.5723800000000001</v>
      </c>
      <c r="E488" s="23">
        <v>1.6937500000000001</v>
      </c>
      <c r="F488" s="23">
        <v>1.83388</v>
      </c>
      <c r="G488" s="23">
        <v>1.9001300000000001</v>
      </c>
      <c r="H488" s="23">
        <v>1.9061300000000001</v>
      </c>
      <c r="I488" s="23">
        <v>1.9624999999999999</v>
      </c>
    </row>
    <row r="489" spans="1:9" s="21" customFormat="1" ht="20.100000000000001" customHeight="1" x14ac:dyDescent="0.2">
      <c r="A489" s="22">
        <v>43802</v>
      </c>
      <c r="B489" s="23" t="s">
        <v>49</v>
      </c>
      <c r="C489" s="23">
        <v>1.5385</v>
      </c>
      <c r="D489" s="23">
        <v>1.57725</v>
      </c>
      <c r="E489" s="23">
        <v>1.70363</v>
      </c>
      <c r="F489" s="23">
        <v>1.8356300000000001</v>
      </c>
      <c r="G489" s="23">
        <v>1.8915</v>
      </c>
      <c r="H489" s="23">
        <v>1.8953800000000001</v>
      </c>
      <c r="I489" s="23">
        <v>1.9366300000000001</v>
      </c>
    </row>
    <row r="490" spans="1:9" s="21" customFormat="1" ht="20.100000000000001" customHeight="1" x14ac:dyDescent="0.2">
      <c r="A490" s="22">
        <v>43803</v>
      </c>
      <c r="B490" s="23" t="s">
        <v>50</v>
      </c>
      <c r="C490" s="23">
        <v>1.5295000000000001</v>
      </c>
      <c r="D490" s="23">
        <v>1.5883799999999999</v>
      </c>
      <c r="E490" s="23">
        <v>1.71313</v>
      </c>
      <c r="F490" s="23">
        <v>1.825</v>
      </c>
      <c r="G490" s="23">
        <v>1.88713</v>
      </c>
      <c r="H490" s="23">
        <v>1.8875</v>
      </c>
      <c r="I490" s="23">
        <v>1.917</v>
      </c>
    </row>
    <row r="491" spans="1:9" s="21" customFormat="1" ht="20.100000000000001" customHeight="1" x14ac:dyDescent="0.2">
      <c r="A491" s="22">
        <v>43804</v>
      </c>
      <c r="B491" s="23" t="s">
        <v>51</v>
      </c>
      <c r="C491" s="23">
        <v>1.52938</v>
      </c>
      <c r="D491" s="23">
        <v>1.5747500000000001</v>
      </c>
      <c r="E491" s="23">
        <v>1.7101299999999999</v>
      </c>
      <c r="F491" s="23">
        <v>1.8223800000000001</v>
      </c>
      <c r="G491" s="23">
        <v>1.885</v>
      </c>
      <c r="H491" s="23">
        <v>1.8881300000000001</v>
      </c>
      <c r="I491" s="23">
        <v>1.9226300000000001</v>
      </c>
    </row>
    <row r="492" spans="1:9" s="21" customFormat="1" ht="20.100000000000001" customHeight="1" x14ac:dyDescent="0.2">
      <c r="A492" s="22">
        <v>43805</v>
      </c>
      <c r="B492" s="23" t="s">
        <v>52</v>
      </c>
      <c r="C492" s="23">
        <v>1.5291300000000001</v>
      </c>
      <c r="D492" s="23">
        <v>1.5828800000000001</v>
      </c>
      <c r="E492" s="23">
        <v>1.71513</v>
      </c>
      <c r="F492" s="23">
        <v>1.82175</v>
      </c>
      <c r="G492" s="23">
        <v>1.8905000000000001</v>
      </c>
      <c r="H492" s="23">
        <v>1.8867499999999999</v>
      </c>
      <c r="I492" s="23">
        <v>1.92313</v>
      </c>
    </row>
    <row r="493" spans="1:9" s="21" customFormat="1" ht="20.100000000000001" customHeight="1" x14ac:dyDescent="0.2">
      <c r="A493" s="22">
        <v>43808</v>
      </c>
      <c r="B493" s="23" t="s">
        <v>53</v>
      </c>
      <c r="C493" s="23">
        <v>1.5366299999999999</v>
      </c>
      <c r="D493" s="23">
        <v>1.5828800000000001</v>
      </c>
      <c r="E493" s="23">
        <v>1.71763</v>
      </c>
      <c r="F493" s="23">
        <v>1.8205</v>
      </c>
      <c r="G493" s="23">
        <v>1.8883799999999999</v>
      </c>
      <c r="H493" s="23">
        <v>1.8801300000000001</v>
      </c>
      <c r="I493" s="23">
        <v>1.9352499999999999</v>
      </c>
    </row>
    <row r="494" spans="1:9" s="21" customFormat="1" ht="20.100000000000001" customHeight="1" x14ac:dyDescent="0.2">
      <c r="A494" s="22">
        <v>43809</v>
      </c>
      <c r="B494" s="23" t="s">
        <v>49</v>
      </c>
      <c r="C494" s="23">
        <v>1.5289999999999999</v>
      </c>
      <c r="D494" s="23">
        <v>1.58013</v>
      </c>
      <c r="E494" s="23">
        <v>1.73563</v>
      </c>
      <c r="F494" s="23">
        <v>1.82613</v>
      </c>
      <c r="G494" s="23">
        <v>1.8872500000000001</v>
      </c>
      <c r="H494" s="23">
        <v>1.87863</v>
      </c>
      <c r="I494" s="23">
        <v>1.9328799999999999</v>
      </c>
    </row>
    <row r="495" spans="1:9" s="21" customFormat="1" ht="20.100000000000001" customHeight="1" x14ac:dyDescent="0.2">
      <c r="A495" s="22">
        <v>43810</v>
      </c>
      <c r="B495" s="23" t="s">
        <v>50</v>
      </c>
      <c r="C495" s="23">
        <v>1.52538</v>
      </c>
      <c r="D495" s="23">
        <v>1.5763799999999999</v>
      </c>
      <c r="E495" s="23">
        <v>1.7404999999999999</v>
      </c>
      <c r="F495" s="23">
        <v>1.8240000000000001</v>
      </c>
      <c r="G495" s="23">
        <v>1.8873800000000001</v>
      </c>
      <c r="H495" s="23">
        <v>1.88825</v>
      </c>
      <c r="I495" s="23">
        <v>1.9432499999999999</v>
      </c>
    </row>
    <row r="496" spans="1:9" s="21" customFormat="1" ht="20.100000000000001" customHeight="1" x14ac:dyDescent="0.2">
      <c r="A496" s="22">
        <v>43811</v>
      </c>
      <c r="B496" s="23" t="s">
        <v>51</v>
      </c>
      <c r="C496" s="23">
        <v>1.5337499999999999</v>
      </c>
      <c r="D496" s="23">
        <v>1.5703800000000001</v>
      </c>
      <c r="E496" s="23">
        <v>1.7397499999999999</v>
      </c>
      <c r="F496" s="23">
        <v>1.83188</v>
      </c>
      <c r="G496" s="23">
        <v>1.8936299999999999</v>
      </c>
      <c r="H496" s="23">
        <v>1.8863799999999999</v>
      </c>
      <c r="I496" s="23">
        <v>1.9328799999999999</v>
      </c>
    </row>
    <row r="497" spans="1:9" s="21" customFormat="1" ht="20.100000000000001" customHeight="1" x14ac:dyDescent="0.2">
      <c r="A497" s="22">
        <v>43812</v>
      </c>
      <c r="B497" s="23" t="s">
        <v>52</v>
      </c>
      <c r="C497" s="23">
        <v>1.5298799999999999</v>
      </c>
      <c r="D497" s="23">
        <v>1.5629999999999999</v>
      </c>
      <c r="E497" s="23">
        <v>1.7373799999999999</v>
      </c>
      <c r="F497" s="23">
        <v>1.8368800000000001</v>
      </c>
      <c r="G497" s="23">
        <v>1.8996299999999999</v>
      </c>
      <c r="H497" s="23">
        <v>1.9028799999999999</v>
      </c>
      <c r="I497" s="23">
        <v>1.9638800000000001</v>
      </c>
    </row>
    <row r="498" spans="1:9" s="21" customFormat="1" ht="20.100000000000001" customHeight="1" x14ac:dyDescent="0.2">
      <c r="A498" s="22">
        <v>43815</v>
      </c>
      <c r="B498" s="23" t="s">
        <v>53</v>
      </c>
      <c r="C498" s="23">
        <v>1.5306299999999999</v>
      </c>
      <c r="D498" s="23">
        <v>1.56525</v>
      </c>
      <c r="E498" s="23">
        <v>1.74488</v>
      </c>
      <c r="F498" s="23">
        <v>1.83613</v>
      </c>
      <c r="G498" s="23">
        <v>1.8985000000000001</v>
      </c>
      <c r="H498" s="23">
        <v>1.8933800000000001</v>
      </c>
      <c r="I498" s="23">
        <v>1.95963</v>
      </c>
    </row>
    <row r="499" spans="1:9" s="21" customFormat="1" ht="20.100000000000001" customHeight="1" x14ac:dyDescent="0.2">
      <c r="A499" s="22">
        <v>43816</v>
      </c>
      <c r="B499" s="23" t="s">
        <v>49</v>
      </c>
      <c r="C499" s="23">
        <v>1.5356300000000001</v>
      </c>
      <c r="D499" s="23">
        <v>1.57613</v>
      </c>
      <c r="E499" s="23">
        <v>1.7638799999999999</v>
      </c>
      <c r="F499" s="23">
        <v>1.8405</v>
      </c>
      <c r="G499" s="23">
        <v>1.9025000000000001</v>
      </c>
      <c r="H499" s="23">
        <v>1.90463</v>
      </c>
      <c r="I499" s="23">
        <v>1.96838</v>
      </c>
    </row>
    <row r="500" spans="1:9" s="21" customFormat="1" ht="20.100000000000001" customHeight="1" x14ac:dyDescent="0.2">
      <c r="A500" s="22">
        <v>43817</v>
      </c>
      <c r="B500" s="23" t="s">
        <v>50</v>
      </c>
      <c r="C500" s="23">
        <v>1.5335000000000001</v>
      </c>
      <c r="D500" s="23">
        <v>1.58213</v>
      </c>
      <c r="E500" s="23">
        <v>1.7646299999999999</v>
      </c>
      <c r="F500" s="23">
        <v>1.84188</v>
      </c>
      <c r="G500" s="23">
        <v>1.9079999999999999</v>
      </c>
      <c r="H500" s="23">
        <v>1.9048799999999999</v>
      </c>
      <c r="I500" s="23">
        <v>1.96963</v>
      </c>
    </row>
    <row r="501" spans="1:9" s="21" customFormat="1" ht="20.100000000000001" customHeight="1" x14ac:dyDescent="0.2">
      <c r="A501" s="22">
        <v>43818</v>
      </c>
      <c r="B501" s="23" t="s">
        <v>51</v>
      </c>
      <c r="C501" s="23">
        <v>1.534</v>
      </c>
      <c r="D501" s="23">
        <v>1.57525</v>
      </c>
      <c r="E501" s="23">
        <v>1.7851300000000001</v>
      </c>
      <c r="F501" s="23">
        <v>1.8447499999999999</v>
      </c>
      <c r="G501" s="23">
        <v>1.9277500000000001</v>
      </c>
      <c r="H501" s="23">
        <v>1.91625</v>
      </c>
      <c r="I501" s="23">
        <v>1.998</v>
      </c>
    </row>
    <row r="502" spans="1:9" s="21" customFormat="1" ht="20.100000000000001" customHeight="1" x14ac:dyDescent="0.2">
      <c r="A502" s="22">
        <v>43819</v>
      </c>
      <c r="B502" s="23" t="s">
        <v>52</v>
      </c>
      <c r="C502" s="23">
        <v>1.5366299999999999</v>
      </c>
      <c r="D502" s="23">
        <v>1.57613</v>
      </c>
      <c r="E502" s="23">
        <v>1.7798799999999999</v>
      </c>
      <c r="F502" s="23">
        <v>1.85025</v>
      </c>
      <c r="G502" s="23">
        <v>1.93475</v>
      </c>
      <c r="H502" s="23">
        <v>1.9205000000000001</v>
      </c>
      <c r="I502" s="23">
        <v>1.99963</v>
      </c>
    </row>
    <row r="503" spans="1:9" s="21" customFormat="1" ht="20.100000000000001" customHeight="1" x14ac:dyDescent="0.2">
      <c r="A503" s="22">
        <v>43822</v>
      </c>
      <c r="B503" s="23" t="s">
        <v>53</v>
      </c>
      <c r="C503" s="23">
        <v>1.5345</v>
      </c>
      <c r="D503" s="23">
        <v>1.6025</v>
      </c>
      <c r="E503" s="23">
        <v>1.792</v>
      </c>
      <c r="F503" s="23">
        <v>1.84388</v>
      </c>
      <c r="G503" s="23">
        <v>1.9466300000000001</v>
      </c>
      <c r="H503" s="23">
        <v>1.92438</v>
      </c>
      <c r="I503" s="23">
        <v>2.0015000000000001</v>
      </c>
    </row>
    <row r="504" spans="1:9" s="21" customFormat="1" ht="20.100000000000001" customHeight="1" x14ac:dyDescent="0.2">
      <c r="A504" s="22">
        <v>43823</v>
      </c>
      <c r="B504" s="23" t="s">
        <v>49</v>
      </c>
      <c r="C504" s="23">
        <v>1.5331300000000001</v>
      </c>
      <c r="D504" s="23">
        <v>1.60863</v>
      </c>
      <c r="E504" s="23">
        <v>1.8047500000000001</v>
      </c>
      <c r="F504" s="23">
        <v>1.853</v>
      </c>
      <c r="G504" s="23">
        <v>1.9604999999999999</v>
      </c>
      <c r="H504" s="23">
        <v>1.9212499999999999</v>
      </c>
      <c r="I504" s="23">
        <v>2.012</v>
      </c>
    </row>
    <row r="505" spans="1:9" s="21" customFormat="1" ht="20.100000000000001" customHeight="1" x14ac:dyDescent="0.2">
      <c r="A505" s="22">
        <v>43826</v>
      </c>
      <c r="B505" s="23" t="s">
        <v>52</v>
      </c>
      <c r="C505" s="23">
        <v>1.5362499999999999</v>
      </c>
      <c r="D505" s="23">
        <v>1.6240000000000001</v>
      </c>
      <c r="E505" s="23">
        <v>1.79938</v>
      </c>
      <c r="F505" s="23">
        <v>1.8491299999999999</v>
      </c>
      <c r="G505" s="23">
        <v>1.9446300000000001</v>
      </c>
      <c r="H505" s="23">
        <v>1.92075</v>
      </c>
      <c r="I505" s="23">
        <v>2.0042499999999999</v>
      </c>
    </row>
    <row r="506" spans="1:9" s="21" customFormat="1" ht="20.100000000000001" customHeight="1" x14ac:dyDescent="0.2">
      <c r="A506" s="22">
        <v>43829</v>
      </c>
      <c r="B506" s="23" t="s">
        <v>53</v>
      </c>
      <c r="C506" s="23">
        <v>1.5343800000000001</v>
      </c>
      <c r="D506" s="23">
        <v>1.6034999999999999</v>
      </c>
      <c r="E506" s="23">
        <v>1.78088</v>
      </c>
      <c r="F506" s="23">
        <v>1.8388800000000001</v>
      </c>
      <c r="G506" s="23">
        <v>1.9093800000000001</v>
      </c>
      <c r="H506" s="23">
        <v>1.9087499999999999</v>
      </c>
      <c r="I506" s="23">
        <v>2.0009999999999999</v>
      </c>
    </row>
    <row r="507" spans="1:9" s="21" customFormat="1" ht="20.100000000000001" customHeight="1" x14ac:dyDescent="0.2">
      <c r="A507" s="22">
        <v>43830</v>
      </c>
      <c r="B507" s="23" t="s">
        <v>49</v>
      </c>
      <c r="C507" s="23">
        <v>1.5426299999999999</v>
      </c>
      <c r="D507" s="23">
        <v>1.63</v>
      </c>
      <c r="E507" s="23">
        <v>1.7625</v>
      </c>
      <c r="F507" s="23">
        <v>1.8331299999999999</v>
      </c>
      <c r="G507" s="23">
        <v>1.90838</v>
      </c>
      <c r="H507" s="23">
        <v>1.9121300000000001</v>
      </c>
      <c r="I507" s="23">
        <v>1.9962500000000001</v>
      </c>
    </row>
    <row r="508" spans="1:9" s="21" customFormat="1" ht="20.100000000000001" customHeight="1" x14ac:dyDescent="0.2">
      <c r="A508" s="22">
        <v>43832</v>
      </c>
      <c r="B508" s="23" t="s">
        <v>51</v>
      </c>
      <c r="C508" s="23">
        <v>1.5405</v>
      </c>
      <c r="D508" s="23">
        <v>1.59338</v>
      </c>
      <c r="E508" s="23">
        <v>1.73438</v>
      </c>
      <c r="F508" s="23">
        <v>1.8211299999999999</v>
      </c>
      <c r="G508" s="23">
        <v>1.90025</v>
      </c>
      <c r="H508" s="23">
        <v>1.9095</v>
      </c>
      <c r="I508" s="23">
        <v>1.99488</v>
      </c>
    </row>
    <row r="509" spans="1:9" s="21" customFormat="1" ht="20.100000000000001" customHeight="1" x14ac:dyDescent="0.2">
      <c r="A509" s="22">
        <v>43833</v>
      </c>
      <c r="B509" s="23" t="s">
        <v>52</v>
      </c>
      <c r="C509" s="23">
        <v>1.5367500000000001</v>
      </c>
      <c r="D509" s="23">
        <v>1.5888800000000001</v>
      </c>
      <c r="E509" s="23">
        <v>1.7142500000000001</v>
      </c>
      <c r="F509" s="23">
        <v>1.8105</v>
      </c>
      <c r="G509" s="23">
        <v>1.87388</v>
      </c>
      <c r="H509" s="23">
        <v>1.8928799999999999</v>
      </c>
      <c r="I509" s="23">
        <v>1.9641299999999999</v>
      </c>
    </row>
    <row r="510" spans="1:9" s="21" customFormat="1" ht="20.100000000000001" customHeight="1" x14ac:dyDescent="0.2">
      <c r="A510" s="22">
        <v>43836</v>
      </c>
      <c r="B510" s="23" t="s">
        <v>53</v>
      </c>
      <c r="C510" s="23">
        <v>1.5369999999999999</v>
      </c>
      <c r="D510" s="23">
        <v>1.57863</v>
      </c>
      <c r="E510" s="23">
        <v>1.6921299999999999</v>
      </c>
      <c r="F510" s="23">
        <v>1.8038799999999999</v>
      </c>
      <c r="G510" s="23">
        <v>1.87225</v>
      </c>
      <c r="H510" s="23">
        <v>1.89425</v>
      </c>
      <c r="I510" s="23">
        <v>1.95488</v>
      </c>
    </row>
    <row r="511" spans="1:9" s="21" customFormat="1" ht="20.100000000000001" customHeight="1" x14ac:dyDescent="0.2">
      <c r="A511" s="22">
        <v>43837</v>
      </c>
      <c r="B511" s="23" t="s">
        <v>49</v>
      </c>
      <c r="C511" s="23">
        <v>1.5278799999999999</v>
      </c>
      <c r="D511" s="23">
        <v>1.58613</v>
      </c>
      <c r="E511" s="23">
        <v>1.6990000000000001</v>
      </c>
      <c r="F511" s="23">
        <v>1.8122499999999999</v>
      </c>
      <c r="G511" s="23">
        <v>1.8779999999999999</v>
      </c>
      <c r="H511" s="23">
        <v>1.8805000000000001</v>
      </c>
      <c r="I511" s="23">
        <v>1.9544999999999999</v>
      </c>
    </row>
    <row r="512" spans="1:9" s="21" customFormat="1" ht="20.100000000000001" customHeight="1" x14ac:dyDescent="0.2">
      <c r="A512" s="22">
        <v>43838</v>
      </c>
      <c r="B512" s="23" t="s">
        <v>50</v>
      </c>
      <c r="C512" s="23">
        <v>1.5325</v>
      </c>
      <c r="D512" s="23">
        <v>1.5747500000000001</v>
      </c>
      <c r="E512" s="23">
        <v>1.67713</v>
      </c>
      <c r="F512" s="23">
        <v>1.8368800000000001</v>
      </c>
      <c r="G512" s="23">
        <v>1.8340000000000001</v>
      </c>
      <c r="H512" s="23">
        <v>1.8743799999999999</v>
      </c>
      <c r="I512" s="23">
        <v>1.95113</v>
      </c>
    </row>
    <row r="513" spans="1:9" s="21" customFormat="1" ht="20.100000000000001" customHeight="1" x14ac:dyDescent="0.2">
      <c r="A513" s="22">
        <v>43839</v>
      </c>
      <c r="B513" s="23" t="s">
        <v>51</v>
      </c>
      <c r="C513" s="23">
        <v>1.5269999999999999</v>
      </c>
      <c r="D513" s="23">
        <v>1.5620000000000001</v>
      </c>
      <c r="E513" s="23">
        <v>1.68363</v>
      </c>
      <c r="F513" s="23">
        <v>1.8411299999999999</v>
      </c>
      <c r="G513" s="23">
        <v>1.84788</v>
      </c>
      <c r="H513" s="23">
        <v>1.8796299999999999</v>
      </c>
      <c r="I513" s="23">
        <v>1.96875</v>
      </c>
    </row>
    <row r="514" spans="1:9" s="21" customFormat="1" ht="20.100000000000001" customHeight="1" x14ac:dyDescent="0.2">
      <c r="A514" s="22">
        <v>43840</v>
      </c>
      <c r="B514" s="23" t="s">
        <v>52</v>
      </c>
      <c r="C514" s="23">
        <v>1.5331300000000001</v>
      </c>
      <c r="D514" s="23">
        <v>1.5643800000000001</v>
      </c>
      <c r="E514" s="23">
        <v>1.6766300000000001</v>
      </c>
      <c r="F514" s="23">
        <v>1.8065</v>
      </c>
      <c r="G514" s="23">
        <v>1.83775</v>
      </c>
      <c r="H514" s="23">
        <v>1.8721300000000001</v>
      </c>
      <c r="I514" s="23">
        <v>1.9666300000000001</v>
      </c>
    </row>
    <row r="515" spans="1:9" s="21" customFormat="1" ht="20.100000000000001" customHeight="1" x14ac:dyDescent="0.2">
      <c r="A515" s="22">
        <v>43843</v>
      </c>
      <c r="B515" s="23" t="s">
        <v>53</v>
      </c>
      <c r="C515" s="23">
        <v>1.5351300000000001</v>
      </c>
      <c r="D515" s="23">
        <v>1.5660000000000001</v>
      </c>
      <c r="E515" s="23">
        <v>1.67625</v>
      </c>
      <c r="F515" s="23">
        <v>1.7951299999999999</v>
      </c>
      <c r="G515" s="23">
        <v>1.83125</v>
      </c>
      <c r="H515" s="23">
        <v>1.8725000000000001</v>
      </c>
      <c r="I515" s="23">
        <v>1.962</v>
      </c>
    </row>
    <row r="516" spans="1:9" s="21" customFormat="1" ht="20.100000000000001" customHeight="1" x14ac:dyDescent="0.2">
      <c r="A516" s="22">
        <v>43844</v>
      </c>
      <c r="B516" s="23" t="s">
        <v>49</v>
      </c>
      <c r="C516" s="23">
        <v>1.53125</v>
      </c>
      <c r="D516" s="23">
        <v>1.5671299999999999</v>
      </c>
      <c r="E516" s="23">
        <v>1.6696299999999999</v>
      </c>
      <c r="F516" s="23">
        <v>1.786</v>
      </c>
      <c r="G516" s="23">
        <v>1.84263</v>
      </c>
      <c r="H516" s="23">
        <v>1.8645</v>
      </c>
      <c r="I516" s="23">
        <v>1.96313</v>
      </c>
    </row>
    <row r="517" spans="1:9" s="21" customFormat="1" ht="20.100000000000001" customHeight="1" x14ac:dyDescent="0.2">
      <c r="A517" s="22">
        <v>43845</v>
      </c>
      <c r="B517" s="23" t="s">
        <v>50</v>
      </c>
      <c r="C517" s="23">
        <v>1.5283800000000001</v>
      </c>
      <c r="D517" s="23">
        <v>1.55888</v>
      </c>
      <c r="E517" s="23">
        <v>1.669</v>
      </c>
      <c r="F517" s="23">
        <v>1.7866299999999999</v>
      </c>
      <c r="G517" s="23">
        <v>1.83613</v>
      </c>
      <c r="H517" s="23">
        <v>1.865</v>
      </c>
      <c r="I517" s="23">
        <v>1.95275</v>
      </c>
    </row>
    <row r="518" spans="1:9" s="21" customFormat="1" ht="20.100000000000001" customHeight="1" x14ac:dyDescent="0.2">
      <c r="A518" s="22">
        <v>43846</v>
      </c>
      <c r="B518" s="23" t="s">
        <v>51</v>
      </c>
      <c r="C518" s="23">
        <v>1.5356300000000001</v>
      </c>
      <c r="D518" s="23">
        <v>1.5575000000000001</v>
      </c>
      <c r="E518" s="23">
        <v>1.6577500000000001</v>
      </c>
      <c r="F518" s="23">
        <v>1.79888</v>
      </c>
      <c r="G518" s="23">
        <v>1.82663</v>
      </c>
      <c r="H518" s="23">
        <v>1.8487499999999999</v>
      </c>
      <c r="I518" s="23">
        <v>1.9301299999999999</v>
      </c>
    </row>
    <row r="519" spans="1:9" s="21" customFormat="1" ht="20.100000000000001" customHeight="1" x14ac:dyDescent="0.2">
      <c r="A519" s="22">
        <v>43847</v>
      </c>
      <c r="B519" s="23" t="s">
        <v>52</v>
      </c>
      <c r="C519" s="23">
        <v>1.5311300000000001</v>
      </c>
      <c r="D519" s="23">
        <v>1.55575</v>
      </c>
      <c r="E519" s="23">
        <v>1.65438</v>
      </c>
      <c r="F519" s="23">
        <v>1.7925</v>
      </c>
      <c r="G519" s="23">
        <v>1.8191299999999999</v>
      </c>
      <c r="H519" s="23">
        <v>1.8448800000000001</v>
      </c>
      <c r="I519" s="23">
        <v>1.923</v>
      </c>
    </row>
    <row r="520" spans="1:9" s="21" customFormat="1" ht="20.100000000000001" customHeight="1" x14ac:dyDescent="0.2">
      <c r="A520" s="22">
        <v>43850</v>
      </c>
      <c r="B520" s="23" t="s">
        <v>53</v>
      </c>
      <c r="C520" s="23"/>
      <c r="D520" s="23">
        <v>1.5622499999999999</v>
      </c>
      <c r="E520" s="23">
        <v>1.6533800000000001</v>
      </c>
      <c r="F520" s="23">
        <v>1.7863800000000001</v>
      </c>
      <c r="G520" s="23">
        <v>1.80213</v>
      </c>
      <c r="H520" s="23">
        <v>1.8294999999999999</v>
      </c>
      <c r="I520" s="23">
        <v>1.9246300000000001</v>
      </c>
    </row>
    <row r="521" spans="1:9" s="21" customFormat="1" ht="20.100000000000001" customHeight="1" x14ac:dyDescent="0.2">
      <c r="A521" s="22">
        <v>43851</v>
      </c>
      <c r="B521" s="23" t="s">
        <v>49</v>
      </c>
      <c r="C521" s="23">
        <v>1.53925</v>
      </c>
      <c r="D521" s="23">
        <v>1.5523800000000001</v>
      </c>
      <c r="E521" s="23">
        <v>1.6595</v>
      </c>
      <c r="F521" s="23">
        <v>1.7825</v>
      </c>
      <c r="G521" s="23">
        <v>1.8062499999999999</v>
      </c>
      <c r="H521" s="23">
        <v>1.8343799999999999</v>
      </c>
      <c r="I521" s="23">
        <v>1.91838</v>
      </c>
    </row>
    <row r="522" spans="1:9" s="21" customFormat="1" ht="20.100000000000001" customHeight="1" x14ac:dyDescent="0.2">
      <c r="A522" s="22">
        <v>43852</v>
      </c>
      <c r="B522" s="23" t="s">
        <v>50</v>
      </c>
      <c r="C522" s="23">
        <v>1.5326299999999999</v>
      </c>
      <c r="D522" s="23">
        <v>1.55325</v>
      </c>
      <c r="E522" s="23">
        <v>1.6593800000000001</v>
      </c>
      <c r="F522" s="23">
        <v>1.7698799999999999</v>
      </c>
      <c r="G522" s="23">
        <v>1.80088</v>
      </c>
      <c r="H522" s="23">
        <v>1.82463</v>
      </c>
      <c r="I522" s="23">
        <v>1.919</v>
      </c>
    </row>
    <row r="523" spans="1:9" s="21" customFormat="1" ht="20.100000000000001" customHeight="1" x14ac:dyDescent="0.2">
      <c r="A523" s="22">
        <v>43853</v>
      </c>
      <c r="B523" s="23" t="s">
        <v>51</v>
      </c>
      <c r="C523" s="23">
        <v>1.53163</v>
      </c>
      <c r="D523" s="23">
        <v>1.56088</v>
      </c>
      <c r="E523" s="23">
        <v>1.6608799999999999</v>
      </c>
      <c r="F523" s="23">
        <v>1.7657499999999999</v>
      </c>
      <c r="G523" s="23">
        <v>1.79413</v>
      </c>
      <c r="H523" s="23">
        <v>1.82175</v>
      </c>
      <c r="I523" s="23">
        <v>1.8945000000000001</v>
      </c>
    </row>
    <row r="524" spans="1:9" s="21" customFormat="1" ht="20.100000000000001" customHeight="1" x14ac:dyDescent="0.2">
      <c r="A524" s="22">
        <v>43854</v>
      </c>
      <c r="B524" s="23" t="s">
        <v>52</v>
      </c>
      <c r="C524" s="23">
        <v>1.5318799999999999</v>
      </c>
      <c r="D524" s="23">
        <v>1.56175</v>
      </c>
      <c r="E524" s="23">
        <v>1.6595</v>
      </c>
      <c r="F524" s="23">
        <v>1.7803800000000001</v>
      </c>
      <c r="G524" s="23">
        <v>1.79538</v>
      </c>
      <c r="H524" s="23">
        <v>1.80525</v>
      </c>
      <c r="I524" s="23">
        <v>1.87988</v>
      </c>
    </row>
    <row r="525" spans="1:9" s="21" customFormat="1" ht="20.100000000000001" customHeight="1" x14ac:dyDescent="0.2">
      <c r="A525" s="22">
        <v>43857</v>
      </c>
      <c r="B525" s="23" t="s">
        <v>53</v>
      </c>
      <c r="C525" s="23">
        <v>1.5317499999999999</v>
      </c>
      <c r="D525" s="23">
        <v>1.5627500000000001</v>
      </c>
      <c r="E525" s="23">
        <v>1.6492500000000001</v>
      </c>
      <c r="F525" s="23">
        <v>1.77213</v>
      </c>
      <c r="G525" s="23">
        <v>1.7745</v>
      </c>
      <c r="H525" s="23">
        <v>1.7835000000000001</v>
      </c>
      <c r="I525" s="23">
        <v>1.83725</v>
      </c>
    </row>
    <row r="526" spans="1:9" s="21" customFormat="1" ht="20.100000000000001" customHeight="1" x14ac:dyDescent="0.2">
      <c r="A526" s="22">
        <v>43858</v>
      </c>
      <c r="B526" s="23" t="s">
        <v>49</v>
      </c>
      <c r="C526" s="23">
        <v>1.5329999999999999</v>
      </c>
      <c r="D526" s="23">
        <v>1.5607500000000001</v>
      </c>
      <c r="E526" s="23">
        <v>1.65</v>
      </c>
      <c r="F526" s="23">
        <v>1.764</v>
      </c>
      <c r="G526" s="23">
        <v>1.7695000000000001</v>
      </c>
      <c r="H526" s="23">
        <v>1.7709999999999999</v>
      </c>
      <c r="I526" s="23">
        <v>1.83125</v>
      </c>
    </row>
    <row r="527" spans="1:9" s="21" customFormat="1" ht="20.100000000000001" customHeight="1" x14ac:dyDescent="0.2">
      <c r="A527" s="22">
        <v>43859</v>
      </c>
      <c r="B527" s="23" t="s">
        <v>50</v>
      </c>
      <c r="C527" s="23">
        <v>1.52963</v>
      </c>
      <c r="D527" s="23">
        <v>1.5654999999999999</v>
      </c>
      <c r="E527" s="23">
        <v>1.6452500000000001</v>
      </c>
      <c r="F527" s="23">
        <v>1.7623800000000001</v>
      </c>
      <c r="G527" s="23">
        <v>1.7771300000000001</v>
      </c>
      <c r="H527" s="23">
        <v>1.77925</v>
      </c>
      <c r="I527" s="23">
        <v>1.8471299999999999</v>
      </c>
    </row>
    <row r="528" spans="1:9" s="21" customFormat="1" ht="20.100000000000001" customHeight="1" x14ac:dyDescent="0.2">
      <c r="A528" s="22">
        <v>43860</v>
      </c>
      <c r="B528" s="23" t="s">
        <v>51</v>
      </c>
      <c r="C528" s="23">
        <v>1.5438799999999999</v>
      </c>
      <c r="D528" s="23">
        <v>1.57613</v>
      </c>
      <c r="E528" s="23">
        <v>1.655</v>
      </c>
      <c r="F528" s="23">
        <v>1.74125</v>
      </c>
      <c r="G528" s="23">
        <v>1.76325</v>
      </c>
      <c r="H528" s="23">
        <v>1.7633799999999999</v>
      </c>
      <c r="I528" s="23">
        <v>1.8216300000000001</v>
      </c>
    </row>
    <row r="529" spans="1:9" s="21" customFormat="1" ht="20.100000000000001" customHeight="1" x14ac:dyDescent="0.2">
      <c r="A529" s="22">
        <v>43861</v>
      </c>
      <c r="B529" s="23" t="s">
        <v>52</v>
      </c>
      <c r="C529" s="23">
        <v>1.5687500000000001</v>
      </c>
      <c r="D529" s="23">
        <v>1.5891299999999999</v>
      </c>
      <c r="E529" s="23">
        <v>1.66188</v>
      </c>
      <c r="F529" s="23">
        <v>1.7310000000000001</v>
      </c>
      <c r="G529" s="23">
        <v>1.7511300000000001</v>
      </c>
      <c r="H529" s="23">
        <v>1.74525</v>
      </c>
      <c r="I529" s="23">
        <v>1.80663</v>
      </c>
    </row>
    <row r="530" spans="1:9" s="21" customFormat="1" ht="20.100000000000001" customHeight="1" x14ac:dyDescent="0.2">
      <c r="A530" s="22">
        <v>43864</v>
      </c>
      <c r="B530" s="23" t="s">
        <v>53</v>
      </c>
      <c r="C530" s="23">
        <v>1.5680000000000001</v>
      </c>
      <c r="D530" s="23">
        <v>1.58263</v>
      </c>
      <c r="E530" s="23">
        <v>1.6677500000000001</v>
      </c>
      <c r="F530" s="23">
        <v>1.7235</v>
      </c>
      <c r="G530" s="23">
        <v>1.7410000000000001</v>
      </c>
      <c r="H530" s="23">
        <v>1.7170000000000001</v>
      </c>
      <c r="I530" s="23">
        <v>1.7689999999999999</v>
      </c>
    </row>
    <row r="531" spans="1:9" s="21" customFormat="1" ht="20.100000000000001" customHeight="1" x14ac:dyDescent="0.2">
      <c r="A531" s="22">
        <v>43865</v>
      </c>
      <c r="B531" s="23" t="s">
        <v>49</v>
      </c>
      <c r="C531" s="23">
        <v>1.5654999999999999</v>
      </c>
      <c r="D531" s="23">
        <v>1.58538</v>
      </c>
      <c r="E531" s="23">
        <v>1.66625</v>
      </c>
      <c r="F531" s="23">
        <v>1.7237499999999999</v>
      </c>
      <c r="G531" s="23">
        <v>1.7373799999999999</v>
      </c>
      <c r="H531" s="23">
        <v>1.7435</v>
      </c>
      <c r="I531" s="23">
        <v>1.8029999999999999</v>
      </c>
    </row>
    <row r="532" spans="1:9" s="21" customFormat="1" ht="20.100000000000001" customHeight="1" x14ac:dyDescent="0.2">
      <c r="A532" s="22">
        <v>43866</v>
      </c>
      <c r="B532" s="23" t="s">
        <v>50</v>
      </c>
      <c r="C532" s="23">
        <v>1.5751299999999999</v>
      </c>
      <c r="D532" s="23">
        <v>1.58125</v>
      </c>
      <c r="E532" s="23">
        <v>1.6696299999999999</v>
      </c>
      <c r="F532" s="23">
        <v>1.72563</v>
      </c>
      <c r="G532" s="23">
        <v>1.74163</v>
      </c>
      <c r="H532" s="23">
        <v>1.75888</v>
      </c>
      <c r="I532" s="23">
        <v>1.8311299999999999</v>
      </c>
    </row>
    <row r="533" spans="1:9" s="21" customFormat="1" ht="20.100000000000001" customHeight="1" x14ac:dyDescent="0.2">
      <c r="A533" s="22">
        <v>43867</v>
      </c>
      <c r="B533" s="23" t="s">
        <v>51</v>
      </c>
      <c r="C533" s="23">
        <v>1.5720000000000001</v>
      </c>
      <c r="D533" s="23">
        <v>1.5760000000000001</v>
      </c>
      <c r="E533" s="23">
        <v>1.6708799999999999</v>
      </c>
      <c r="F533" s="23">
        <v>1.7278800000000001</v>
      </c>
      <c r="G533" s="23">
        <v>1.7341299999999999</v>
      </c>
      <c r="H533" s="23">
        <v>1.74963</v>
      </c>
      <c r="I533" s="23">
        <v>1.84263</v>
      </c>
    </row>
    <row r="534" spans="1:9" s="21" customFormat="1" ht="20.100000000000001" customHeight="1" x14ac:dyDescent="0.2">
      <c r="A534" s="22">
        <v>43868</v>
      </c>
      <c r="B534" s="23" t="s">
        <v>52</v>
      </c>
      <c r="C534" s="23">
        <v>1.57738</v>
      </c>
      <c r="D534" s="23">
        <v>1.58013</v>
      </c>
      <c r="E534" s="23">
        <v>1.6652499999999999</v>
      </c>
      <c r="F534" s="23">
        <v>1.7237499999999999</v>
      </c>
      <c r="G534" s="23">
        <v>1.73088</v>
      </c>
      <c r="H534" s="23">
        <v>1.74038</v>
      </c>
      <c r="I534" s="23">
        <v>1.8348800000000001</v>
      </c>
    </row>
    <row r="535" spans="1:9" s="21" customFormat="1" ht="20.100000000000001" customHeight="1" x14ac:dyDescent="0.2">
      <c r="A535" s="22">
        <v>43871</v>
      </c>
      <c r="B535" s="23" t="s">
        <v>53</v>
      </c>
      <c r="C535" s="23">
        <v>1.57463</v>
      </c>
      <c r="D535" s="23">
        <v>1.58375</v>
      </c>
      <c r="E535" s="23">
        <v>1.65788</v>
      </c>
      <c r="F535" s="23">
        <v>1.71275</v>
      </c>
      <c r="G535" s="23">
        <v>1.71313</v>
      </c>
      <c r="H535" s="23">
        <v>1.7206300000000001</v>
      </c>
      <c r="I535" s="23">
        <v>1.8005</v>
      </c>
    </row>
    <row r="536" spans="1:9" s="21" customFormat="1" ht="20.100000000000001" customHeight="1" x14ac:dyDescent="0.2">
      <c r="A536" s="22">
        <v>43872</v>
      </c>
      <c r="B536" s="23" t="s">
        <v>49</v>
      </c>
      <c r="C536" s="23">
        <v>1.57125</v>
      </c>
      <c r="D536" s="23">
        <v>1.5825</v>
      </c>
      <c r="E536" s="23">
        <v>1.6527499999999999</v>
      </c>
      <c r="F536" s="23">
        <v>1.67963</v>
      </c>
      <c r="G536" s="23">
        <v>1.7072499999999999</v>
      </c>
      <c r="H536" s="23">
        <v>1.7244999999999999</v>
      </c>
      <c r="I536" s="23">
        <v>1.8071299999999999</v>
      </c>
    </row>
    <row r="537" spans="1:9" s="21" customFormat="1" ht="20.100000000000001" customHeight="1" x14ac:dyDescent="0.2">
      <c r="A537" s="22">
        <v>43873</v>
      </c>
      <c r="B537" s="23" t="s">
        <v>50</v>
      </c>
      <c r="C537" s="23">
        <v>1.57413</v>
      </c>
      <c r="D537" s="23">
        <v>1.5845</v>
      </c>
      <c r="E537" s="23">
        <v>1.6501300000000001</v>
      </c>
      <c r="F537" s="23">
        <v>1.6772499999999999</v>
      </c>
      <c r="G537" s="23">
        <v>1.7037500000000001</v>
      </c>
      <c r="H537" s="23">
        <v>1.7253799999999999</v>
      </c>
      <c r="I537" s="23">
        <v>1.8127500000000001</v>
      </c>
    </row>
    <row r="538" spans="1:9" s="21" customFormat="1" ht="20.100000000000001" customHeight="1" x14ac:dyDescent="0.2">
      <c r="A538" s="22">
        <v>43874</v>
      </c>
      <c r="B538" s="23" t="s">
        <v>51</v>
      </c>
      <c r="C538" s="23">
        <v>1.57338</v>
      </c>
      <c r="D538" s="23">
        <v>1.5822499999999999</v>
      </c>
      <c r="E538" s="23">
        <v>1.6585000000000001</v>
      </c>
      <c r="F538" s="23">
        <v>1.66825</v>
      </c>
      <c r="G538" s="23">
        <v>1.69163</v>
      </c>
      <c r="H538" s="23">
        <v>1.71288</v>
      </c>
      <c r="I538" s="23">
        <v>1.802</v>
      </c>
    </row>
    <row r="539" spans="1:9" s="21" customFormat="1" ht="20.100000000000001" customHeight="1" x14ac:dyDescent="0.2">
      <c r="A539" s="22">
        <v>43875</v>
      </c>
      <c r="B539" s="23" t="s">
        <v>52</v>
      </c>
      <c r="C539" s="23">
        <v>1.57613</v>
      </c>
      <c r="D539" s="23">
        <v>1.58325</v>
      </c>
      <c r="E539" s="23">
        <v>1.65825</v>
      </c>
      <c r="F539" s="23">
        <v>1.6625000000000001</v>
      </c>
      <c r="G539" s="23">
        <v>1.6917500000000001</v>
      </c>
      <c r="H539" s="23">
        <v>1.71</v>
      </c>
      <c r="I539" s="23">
        <v>1.7983800000000001</v>
      </c>
    </row>
    <row r="540" spans="1:9" s="21" customFormat="1" ht="20.100000000000001" customHeight="1" x14ac:dyDescent="0.2">
      <c r="A540" s="22">
        <v>43878</v>
      </c>
      <c r="B540" s="23" t="s">
        <v>53</v>
      </c>
      <c r="C540" s="23"/>
      <c r="D540" s="23">
        <v>1.5822499999999999</v>
      </c>
      <c r="E540" s="23">
        <v>1.6467499999999999</v>
      </c>
      <c r="F540" s="23">
        <v>1.64575</v>
      </c>
      <c r="G540" s="23">
        <v>1.6928799999999999</v>
      </c>
      <c r="H540" s="23">
        <v>1.72488</v>
      </c>
      <c r="I540" s="23">
        <v>1.7927500000000001</v>
      </c>
    </row>
    <row r="541" spans="1:9" s="21" customFormat="1" ht="20.100000000000001" customHeight="1" x14ac:dyDescent="0.2">
      <c r="A541" s="22">
        <v>43879</v>
      </c>
      <c r="B541" s="23" t="s">
        <v>49</v>
      </c>
      <c r="C541" s="23">
        <v>1.56338</v>
      </c>
      <c r="D541" s="23">
        <v>1.58338</v>
      </c>
      <c r="E541" s="23">
        <v>1.647</v>
      </c>
      <c r="F541" s="23">
        <v>1.66038</v>
      </c>
      <c r="G541" s="23">
        <v>1.6946300000000001</v>
      </c>
      <c r="H541" s="23">
        <v>1.71488</v>
      </c>
      <c r="I541" s="23">
        <v>1.7718799999999999</v>
      </c>
    </row>
    <row r="542" spans="1:9" s="21" customFormat="1" ht="20.100000000000001" customHeight="1" x14ac:dyDescent="0.2">
      <c r="A542" s="22">
        <v>43880</v>
      </c>
      <c r="B542" s="23" t="s">
        <v>50</v>
      </c>
      <c r="C542" s="23">
        <v>1.5768800000000001</v>
      </c>
      <c r="D542" s="23">
        <v>1.5823799999999999</v>
      </c>
      <c r="E542" s="23">
        <v>1.6393800000000001</v>
      </c>
      <c r="F542" s="23">
        <v>1.68875</v>
      </c>
      <c r="G542" s="23">
        <v>1.696</v>
      </c>
      <c r="H542" s="23">
        <v>1.69875</v>
      </c>
      <c r="I542" s="23">
        <v>1.76888</v>
      </c>
    </row>
    <row r="543" spans="1:9" s="21" customFormat="1" ht="20.100000000000001" customHeight="1" x14ac:dyDescent="0.2">
      <c r="A543" s="22">
        <v>43881</v>
      </c>
      <c r="B543" s="23" t="s">
        <v>51</v>
      </c>
      <c r="C543" s="23">
        <v>1.5671299999999999</v>
      </c>
      <c r="D543" s="23">
        <v>1.58138</v>
      </c>
      <c r="E543" s="23">
        <v>1.6288800000000001</v>
      </c>
      <c r="F543" s="23">
        <v>1.68163</v>
      </c>
      <c r="G543" s="23">
        <v>1.68275</v>
      </c>
      <c r="H543" s="23">
        <v>1.69563</v>
      </c>
      <c r="I543" s="23">
        <v>1.7617499999999999</v>
      </c>
    </row>
    <row r="544" spans="1:9" s="21" customFormat="1" ht="20.100000000000001" customHeight="1" x14ac:dyDescent="0.2">
      <c r="A544" s="22">
        <v>43882</v>
      </c>
      <c r="B544" s="23" t="s">
        <v>52</v>
      </c>
      <c r="C544" s="23">
        <v>1.5702499999999999</v>
      </c>
      <c r="D544" s="23">
        <v>1.5811299999999999</v>
      </c>
      <c r="E544" s="23">
        <v>1.6267499999999999</v>
      </c>
      <c r="F544" s="23">
        <v>1.67675</v>
      </c>
      <c r="G544" s="23">
        <v>1.6792499999999999</v>
      </c>
      <c r="H544" s="23">
        <v>1.67475</v>
      </c>
      <c r="I544" s="23">
        <v>1.7286300000000001</v>
      </c>
    </row>
    <row r="545" spans="1:9" s="21" customFormat="1" ht="20.100000000000001" customHeight="1" x14ac:dyDescent="0.2">
      <c r="A545" s="22">
        <v>43885</v>
      </c>
      <c r="B545" s="23" t="s">
        <v>53</v>
      </c>
      <c r="C545" s="23">
        <v>1.5754999999999999</v>
      </c>
      <c r="D545" s="23">
        <v>1.5934999999999999</v>
      </c>
      <c r="E545" s="23">
        <v>1.6161300000000001</v>
      </c>
      <c r="F545" s="23">
        <v>1.6368799999999999</v>
      </c>
      <c r="G545" s="23">
        <v>1.64663</v>
      </c>
      <c r="H545" s="23">
        <v>1.6276299999999999</v>
      </c>
      <c r="I545" s="23">
        <v>1.6347499999999999</v>
      </c>
    </row>
    <row r="546" spans="1:9" s="21" customFormat="1" ht="20.100000000000001" customHeight="1" x14ac:dyDescent="0.2">
      <c r="A546" s="22">
        <v>43886</v>
      </c>
      <c r="B546" s="23" t="s">
        <v>49</v>
      </c>
      <c r="C546" s="23">
        <v>1.569</v>
      </c>
      <c r="D546" s="23">
        <v>1.57925</v>
      </c>
      <c r="E546" s="23">
        <v>1.61263</v>
      </c>
      <c r="F546" s="23">
        <v>1.6356299999999999</v>
      </c>
      <c r="G546" s="23">
        <v>1.6376299999999999</v>
      </c>
      <c r="H546" s="23">
        <v>1.62863</v>
      </c>
      <c r="I546" s="23">
        <v>1.64575</v>
      </c>
    </row>
    <row r="547" spans="1:9" s="21" customFormat="1" ht="20.100000000000001" customHeight="1" x14ac:dyDescent="0.2">
      <c r="A547" s="22">
        <v>43887</v>
      </c>
      <c r="B547" s="23" t="s">
        <v>50</v>
      </c>
      <c r="C547" s="23">
        <v>1.5714999999999999</v>
      </c>
      <c r="D547" s="23">
        <v>1.5825</v>
      </c>
      <c r="E547" s="23">
        <v>1.60338</v>
      </c>
      <c r="F547" s="23">
        <v>1.619</v>
      </c>
      <c r="G547" s="23">
        <v>1.6132500000000001</v>
      </c>
      <c r="H547" s="23">
        <v>1.5902499999999999</v>
      </c>
      <c r="I547" s="23">
        <v>1.6101300000000001</v>
      </c>
    </row>
    <row r="548" spans="1:9" s="21" customFormat="1" ht="20.100000000000001" customHeight="1" x14ac:dyDescent="0.2">
      <c r="A548" s="22">
        <v>43888</v>
      </c>
      <c r="B548" s="23" t="s">
        <v>51</v>
      </c>
      <c r="C548" s="23">
        <v>1.5740000000000001</v>
      </c>
      <c r="D548" s="23">
        <v>1.585</v>
      </c>
      <c r="E548" s="23">
        <v>1.5811299999999999</v>
      </c>
      <c r="F548" s="23">
        <v>1.59738</v>
      </c>
      <c r="G548" s="23">
        <v>1.5803799999999999</v>
      </c>
      <c r="H548" s="23">
        <v>1.53325</v>
      </c>
      <c r="I548" s="23">
        <v>1.53725</v>
      </c>
    </row>
    <row r="549" spans="1:9" s="21" customFormat="1" ht="20.100000000000001" customHeight="1" x14ac:dyDescent="0.2">
      <c r="A549" s="22">
        <v>43889</v>
      </c>
      <c r="B549" s="23" t="s">
        <v>52</v>
      </c>
      <c r="C549" s="23">
        <v>1.56775</v>
      </c>
      <c r="D549" s="23">
        <v>1.5680000000000001</v>
      </c>
      <c r="E549" s="23">
        <v>1.51525</v>
      </c>
      <c r="F549" s="23">
        <v>1.5026299999999999</v>
      </c>
      <c r="G549" s="23">
        <v>1.46275</v>
      </c>
      <c r="H549" s="23">
        <v>1.3972500000000001</v>
      </c>
      <c r="I549" s="23">
        <v>1.3815</v>
      </c>
    </row>
    <row r="550" spans="1:9" s="21" customFormat="1" ht="20.100000000000001" customHeight="1" x14ac:dyDescent="0.2">
      <c r="A550" s="22">
        <v>43892</v>
      </c>
      <c r="B550" s="23" t="s">
        <v>53</v>
      </c>
      <c r="C550" s="23">
        <v>1.57463</v>
      </c>
      <c r="D550" s="23">
        <v>1.56125</v>
      </c>
      <c r="E550" s="23">
        <v>1.35575</v>
      </c>
      <c r="F550" s="23">
        <v>1.30488</v>
      </c>
      <c r="G550" s="23">
        <v>1.2537499999999999</v>
      </c>
      <c r="H550" s="23">
        <v>1.19838</v>
      </c>
      <c r="I550" s="23">
        <v>1.15388</v>
      </c>
    </row>
    <row r="551" spans="1:9" s="21" customFormat="1" ht="20.100000000000001" customHeight="1" x14ac:dyDescent="0.2">
      <c r="A551" s="22">
        <v>43893</v>
      </c>
      <c r="B551" s="23" t="s">
        <v>49</v>
      </c>
      <c r="C551" s="23">
        <v>1.5756300000000001</v>
      </c>
      <c r="D551" s="23">
        <v>1.5358799999999999</v>
      </c>
      <c r="E551" s="23">
        <v>1.3767499999999999</v>
      </c>
      <c r="F551" s="23">
        <v>1.3756299999999999</v>
      </c>
      <c r="G551" s="23">
        <v>1.3142499999999999</v>
      </c>
      <c r="H551" s="23">
        <v>1.252</v>
      </c>
      <c r="I551" s="23">
        <v>1.24563</v>
      </c>
    </row>
    <row r="552" spans="1:9" s="21" customFormat="1" ht="20.100000000000001" customHeight="1" x14ac:dyDescent="0.2">
      <c r="A552" s="22">
        <v>43894</v>
      </c>
      <c r="B552" s="23" t="s">
        <v>50</v>
      </c>
      <c r="C552" s="23">
        <v>1.08775</v>
      </c>
      <c r="D552" s="23">
        <v>1.14438</v>
      </c>
      <c r="E552" s="23">
        <v>1.0162500000000001</v>
      </c>
      <c r="F552" s="23">
        <v>1.0191300000000001</v>
      </c>
      <c r="G552" s="23">
        <v>1.0006299999999999</v>
      </c>
      <c r="H552" s="23">
        <v>0.98887999999999998</v>
      </c>
      <c r="I552" s="23">
        <v>0.96750000000000003</v>
      </c>
    </row>
    <row r="553" spans="1:9" s="21" customFormat="1" ht="20.100000000000001" customHeight="1" x14ac:dyDescent="0.2">
      <c r="A553" s="22">
        <v>43895</v>
      </c>
      <c r="B553" s="23" t="s">
        <v>51</v>
      </c>
      <c r="C553" s="23">
        <v>1.08213</v>
      </c>
      <c r="D553" s="23">
        <v>1.10938</v>
      </c>
      <c r="E553" s="23">
        <v>1.0051300000000001</v>
      </c>
      <c r="F553" s="23">
        <v>1.0086299999999999</v>
      </c>
      <c r="G553" s="23">
        <v>0.99887999999999999</v>
      </c>
      <c r="H553" s="23">
        <v>0.97463</v>
      </c>
      <c r="I553" s="23">
        <v>0.94425000000000003</v>
      </c>
    </row>
    <row r="554" spans="1:9" s="21" customFormat="1" ht="20.100000000000001" customHeight="1" x14ac:dyDescent="0.2">
      <c r="A554" s="22">
        <v>43896</v>
      </c>
      <c r="B554" s="23" t="s">
        <v>52</v>
      </c>
      <c r="C554" s="23">
        <v>1.07975</v>
      </c>
      <c r="D554" s="23">
        <v>1.0747500000000001</v>
      </c>
      <c r="E554" s="23">
        <v>0.86263000000000001</v>
      </c>
      <c r="F554" s="23">
        <v>0.87663000000000002</v>
      </c>
      <c r="G554" s="23">
        <v>0.89600000000000002</v>
      </c>
      <c r="H554" s="23">
        <v>0.87988</v>
      </c>
      <c r="I554" s="23">
        <v>0.84562999999999999</v>
      </c>
    </row>
    <row r="555" spans="1:9" s="21" customFormat="1" ht="20.100000000000001" customHeight="1" x14ac:dyDescent="0.2">
      <c r="A555" s="22">
        <v>43899</v>
      </c>
      <c r="B555" s="23" t="s">
        <v>53</v>
      </c>
      <c r="C555" s="23">
        <v>1.0811299999999999</v>
      </c>
      <c r="D555" s="23">
        <v>1.0683800000000001</v>
      </c>
      <c r="E555" s="23">
        <v>0.72487999999999997</v>
      </c>
      <c r="F555" s="23">
        <v>0.71038000000000001</v>
      </c>
      <c r="G555" s="23">
        <v>0.76812999999999998</v>
      </c>
      <c r="H555" s="23">
        <v>0.73538000000000003</v>
      </c>
      <c r="I555" s="23">
        <v>0.74350000000000005</v>
      </c>
    </row>
    <row r="556" spans="1:9" s="21" customFormat="1" ht="20.100000000000001" customHeight="1" x14ac:dyDescent="0.2">
      <c r="A556" s="22">
        <v>43900</v>
      </c>
      <c r="B556" s="23" t="s">
        <v>49</v>
      </c>
      <c r="C556" s="23">
        <v>1.0820000000000001</v>
      </c>
      <c r="D556" s="23">
        <v>1.07125</v>
      </c>
      <c r="E556" s="23">
        <v>0.81137999999999999</v>
      </c>
      <c r="F556" s="23">
        <v>0.79037999999999997</v>
      </c>
      <c r="G556" s="23">
        <v>0.78412999999999999</v>
      </c>
      <c r="H556" s="23">
        <v>0.76963000000000004</v>
      </c>
      <c r="I556" s="23">
        <v>0.79213</v>
      </c>
    </row>
    <row r="557" spans="1:9" s="21" customFormat="1" ht="20.100000000000001" customHeight="1" x14ac:dyDescent="0.2">
      <c r="A557" s="22">
        <v>43901</v>
      </c>
      <c r="B557" s="23" t="s">
        <v>50</v>
      </c>
      <c r="C557" s="23">
        <v>1.0840000000000001</v>
      </c>
      <c r="D557" s="23">
        <v>1.0395000000000001</v>
      </c>
      <c r="E557" s="23">
        <v>0.79662999999999995</v>
      </c>
      <c r="F557" s="23">
        <v>0.79362999999999995</v>
      </c>
      <c r="G557" s="23">
        <v>0.77249999999999996</v>
      </c>
      <c r="H557" s="23">
        <v>0.74399999999999999</v>
      </c>
      <c r="I557" s="23">
        <v>0.74650000000000005</v>
      </c>
    </row>
    <row r="558" spans="1:9" s="21" customFormat="1" ht="20.100000000000001" customHeight="1" x14ac:dyDescent="0.2">
      <c r="A558" s="22">
        <v>43902</v>
      </c>
      <c r="B558" s="23" t="s">
        <v>51</v>
      </c>
      <c r="C558" s="23">
        <v>1.08663</v>
      </c>
      <c r="D558" s="23">
        <v>0.88224999999999998</v>
      </c>
      <c r="E558" s="23">
        <v>0.70462999999999998</v>
      </c>
      <c r="F558" s="23">
        <v>0.73324999999999996</v>
      </c>
      <c r="G558" s="23">
        <v>0.74050000000000005</v>
      </c>
      <c r="H558" s="23">
        <v>0.73787999999999998</v>
      </c>
      <c r="I558" s="23">
        <v>0.75975000000000004</v>
      </c>
    </row>
    <row r="559" spans="1:9" s="21" customFormat="1" ht="20.100000000000001" customHeight="1" x14ac:dyDescent="0.2">
      <c r="A559" s="22">
        <v>43903</v>
      </c>
      <c r="B559" s="23" t="s">
        <v>52</v>
      </c>
      <c r="C559" s="23">
        <v>1.0848800000000001</v>
      </c>
      <c r="D559" s="23">
        <v>0.84724999999999995</v>
      </c>
      <c r="E559" s="23">
        <v>0.80013000000000001</v>
      </c>
      <c r="F559" s="23">
        <v>0.82099999999999995</v>
      </c>
      <c r="G559" s="23">
        <v>0.84313000000000005</v>
      </c>
      <c r="H559" s="23">
        <v>0.82138</v>
      </c>
      <c r="I559" s="23">
        <v>0.82162999999999997</v>
      </c>
    </row>
    <row r="560" spans="1:9" s="21" customFormat="1" ht="20.100000000000001" customHeight="1" x14ac:dyDescent="0.2">
      <c r="A560" s="22">
        <v>43906</v>
      </c>
      <c r="B560" s="23" t="s">
        <v>53</v>
      </c>
      <c r="C560" s="23">
        <v>0.23924999999999999</v>
      </c>
      <c r="D560" s="23">
        <v>0.63763000000000003</v>
      </c>
      <c r="E560" s="23">
        <v>0.61163000000000001</v>
      </c>
      <c r="F560" s="23">
        <v>0.71675</v>
      </c>
      <c r="G560" s="23">
        <v>0.88937999999999995</v>
      </c>
      <c r="H560" s="23">
        <v>0.84375</v>
      </c>
      <c r="I560" s="23">
        <v>0.81938</v>
      </c>
    </row>
    <row r="561" spans="1:9" s="21" customFormat="1" ht="20.100000000000001" customHeight="1" x14ac:dyDescent="0.2">
      <c r="A561" s="22">
        <v>43907</v>
      </c>
      <c r="B561" s="23" t="s">
        <v>49</v>
      </c>
      <c r="C561" s="23">
        <v>0.25813000000000003</v>
      </c>
      <c r="D561" s="23">
        <v>0.67462999999999995</v>
      </c>
      <c r="E561" s="23">
        <v>0.75</v>
      </c>
      <c r="F561" s="23">
        <v>0.90325</v>
      </c>
      <c r="G561" s="23">
        <v>1.0518799999999999</v>
      </c>
      <c r="H561" s="23">
        <v>0.91300000000000003</v>
      </c>
      <c r="I561" s="23">
        <v>0.86175000000000002</v>
      </c>
    </row>
    <row r="562" spans="1:9" s="21" customFormat="1" ht="20.100000000000001" customHeight="1" x14ac:dyDescent="0.2">
      <c r="A562" s="22">
        <v>43908</v>
      </c>
      <c r="B562" s="23" t="s">
        <v>50</v>
      </c>
      <c r="C562" s="23">
        <v>0.37988</v>
      </c>
      <c r="D562" s="23">
        <v>0.79374999999999996</v>
      </c>
      <c r="E562" s="23">
        <v>0.77288000000000001</v>
      </c>
      <c r="F562" s="23">
        <v>0.96062999999999998</v>
      </c>
      <c r="G562" s="23">
        <v>1.11575</v>
      </c>
      <c r="H562" s="23">
        <v>0.95199999999999996</v>
      </c>
      <c r="I562" s="23">
        <v>0.88937999999999995</v>
      </c>
    </row>
    <row r="563" spans="1:9" s="21" customFormat="1" ht="20.100000000000001" customHeight="1" x14ac:dyDescent="0.2">
      <c r="A563" s="22">
        <v>43909</v>
      </c>
      <c r="B563" s="23" t="s">
        <v>51</v>
      </c>
      <c r="C563" s="23">
        <v>0.29825000000000002</v>
      </c>
      <c r="D563" s="23">
        <v>0.76975000000000005</v>
      </c>
      <c r="E563" s="23">
        <v>0.92362999999999995</v>
      </c>
      <c r="F563" s="23">
        <v>1.0796300000000001</v>
      </c>
      <c r="G563" s="23">
        <v>1.19513</v>
      </c>
      <c r="H563" s="23">
        <v>0.97950000000000004</v>
      </c>
      <c r="I563" s="23">
        <v>0.92200000000000004</v>
      </c>
    </row>
    <row r="564" spans="1:9" s="21" customFormat="1" ht="20.100000000000001" customHeight="1" x14ac:dyDescent="0.2">
      <c r="A564" s="22">
        <v>43910</v>
      </c>
      <c r="B564" s="23" t="s">
        <v>52</v>
      </c>
      <c r="C564" s="23">
        <v>0.21188000000000001</v>
      </c>
      <c r="D564" s="23">
        <v>0.73487999999999998</v>
      </c>
      <c r="E564" s="23">
        <v>0.92849999999999999</v>
      </c>
      <c r="F564" s="23">
        <v>1.1000000000000001</v>
      </c>
      <c r="G564" s="23">
        <v>1.2041299999999999</v>
      </c>
      <c r="H564" s="23">
        <v>0.99424999999999997</v>
      </c>
      <c r="I564" s="23">
        <v>0.9335</v>
      </c>
    </row>
    <row r="565" spans="1:9" s="21" customFormat="1" ht="20.100000000000001" customHeight="1" x14ac:dyDescent="0.2">
      <c r="A565" s="22">
        <v>43913</v>
      </c>
      <c r="B565" s="23" t="s">
        <v>53</v>
      </c>
      <c r="C565" s="23">
        <v>0.20649999999999999</v>
      </c>
      <c r="D565" s="23">
        <v>0.68713000000000002</v>
      </c>
      <c r="E565" s="23">
        <v>0.94662999999999997</v>
      </c>
      <c r="F565" s="23">
        <v>1.054</v>
      </c>
      <c r="G565" s="23">
        <v>1.21563</v>
      </c>
      <c r="H565" s="23">
        <v>0.97324999999999995</v>
      </c>
      <c r="I565" s="23">
        <v>0.93737999999999999</v>
      </c>
    </row>
    <row r="566" spans="1:9" s="21" customFormat="1" ht="20.100000000000001" customHeight="1" x14ac:dyDescent="0.2">
      <c r="A566" s="22">
        <v>43914</v>
      </c>
      <c r="B566" s="23" t="s">
        <v>49</v>
      </c>
      <c r="C566" s="23">
        <v>0.17813000000000001</v>
      </c>
      <c r="D566" s="23">
        <v>0.68388000000000004</v>
      </c>
      <c r="E566" s="23">
        <v>0.92488000000000004</v>
      </c>
      <c r="F566" s="23">
        <v>1.1016300000000001</v>
      </c>
      <c r="G566" s="23">
        <v>1.23238</v>
      </c>
      <c r="H566" s="23">
        <v>0.98212999999999995</v>
      </c>
      <c r="I566" s="23">
        <v>0.95674999999999999</v>
      </c>
    </row>
    <row r="567" spans="1:9" s="21" customFormat="1" ht="20.100000000000001" customHeight="1" x14ac:dyDescent="0.2">
      <c r="A567" s="22">
        <v>43915</v>
      </c>
      <c r="B567" s="23" t="s">
        <v>50</v>
      </c>
      <c r="C567" s="23">
        <v>0.20125000000000001</v>
      </c>
      <c r="D567" s="23">
        <v>0.64375000000000004</v>
      </c>
      <c r="E567" s="23">
        <v>0.95913000000000004</v>
      </c>
      <c r="F567" s="23">
        <v>1.15638</v>
      </c>
      <c r="G567" s="23">
        <v>1.2669999999999999</v>
      </c>
      <c r="H567" s="23">
        <v>1.0676300000000001</v>
      </c>
      <c r="I567" s="23">
        <v>0.98750000000000004</v>
      </c>
    </row>
    <row r="568" spans="1:9" s="21" customFormat="1" ht="20.100000000000001" customHeight="1" x14ac:dyDescent="0.2">
      <c r="A568" s="22">
        <v>43916</v>
      </c>
      <c r="B568" s="23" t="s">
        <v>51</v>
      </c>
      <c r="C568" s="23">
        <v>0.14988000000000001</v>
      </c>
      <c r="D568" s="23">
        <v>0.63812999999999998</v>
      </c>
      <c r="E568" s="23">
        <v>0.94088000000000005</v>
      </c>
      <c r="F568" s="23">
        <v>1.1473800000000001</v>
      </c>
      <c r="G568" s="23">
        <v>1.37463</v>
      </c>
      <c r="H568" s="23">
        <v>1.0576300000000001</v>
      </c>
      <c r="I568" s="23">
        <v>0.97275</v>
      </c>
    </row>
    <row r="569" spans="1:9" s="21" customFormat="1" ht="20.100000000000001" customHeight="1" x14ac:dyDescent="0.2">
      <c r="A569" s="22">
        <v>43917</v>
      </c>
      <c r="B569" s="23" t="s">
        <v>52</v>
      </c>
      <c r="C569" s="23">
        <v>0.13625000000000001</v>
      </c>
      <c r="D569" s="23">
        <v>0.61187999999999998</v>
      </c>
      <c r="E569" s="23">
        <v>0.98938000000000004</v>
      </c>
      <c r="F569" s="23">
        <v>1.2563800000000001</v>
      </c>
      <c r="G569" s="23">
        <v>1.4501299999999999</v>
      </c>
      <c r="H569" s="23">
        <v>1.0720000000000001</v>
      </c>
      <c r="I569" s="23">
        <v>0.96850000000000003</v>
      </c>
    </row>
    <row r="570" spans="1:9" s="21" customFormat="1" ht="20.100000000000001" customHeight="1" x14ac:dyDescent="0.2">
      <c r="A570" s="22">
        <v>43920</v>
      </c>
      <c r="B570" s="23" t="s">
        <v>53</v>
      </c>
      <c r="C570" s="23">
        <v>0.12088</v>
      </c>
      <c r="D570" s="23">
        <v>0.58887999999999996</v>
      </c>
      <c r="E570" s="23">
        <v>0.98450000000000004</v>
      </c>
      <c r="F570" s="23">
        <v>1.2638799999999999</v>
      </c>
      <c r="G570" s="23">
        <v>1.4333800000000001</v>
      </c>
      <c r="H570" s="23">
        <v>1.09175</v>
      </c>
      <c r="I570" s="23">
        <v>1.014</v>
      </c>
    </row>
    <row r="571" spans="1:9" s="21" customFormat="1" ht="20.100000000000001" customHeight="1" x14ac:dyDescent="0.2">
      <c r="A571" s="22">
        <v>43921</v>
      </c>
      <c r="B571" s="23" t="s">
        <v>49</v>
      </c>
      <c r="C571" s="23">
        <v>0.11899999999999999</v>
      </c>
      <c r="D571" s="23">
        <v>0.49913000000000002</v>
      </c>
      <c r="E571" s="23">
        <v>0.99287999999999998</v>
      </c>
      <c r="F571" s="23">
        <v>1.2609999999999999</v>
      </c>
      <c r="G571" s="23">
        <v>1.4504999999999999</v>
      </c>
      <c r="H571" s="23">
        <v>1.1752499999999999</v>
      </c>
      <c r="I571" s="23">
        <v>0.99750000000000005</v>
      </c>
    </row>
    <row r="572" spans="1:9" s="21" customFormat="1" ht="20.100000000000001" customHeight="1" x14ac:dyDescent="0.2">
      <c r="A572" s="22">
        <v>43922</v>
      </c>
      <c r="B572" s="23" t="s">
        <v>50</v>
      </c>
      <c r="C572" s="23">
        <v>0.10875</v>
      </c>
      <c r="D572" s="23">
        <v>0.42863000000000001</v>
      </c>
      <c r="E572" s="23">
        <v>1.0162500000000001</v>
      </c>
      <c r="F572" s="23">
        <v>1.2444999999999999</v>
      </c>
      <c r="G572" s="23">
        <v>1.4365000000000001</v>
      </c>
      <c r="H572" s="23">
        <v>1.1952499999999999</v>
      </c>
      <c r="I572" s="23">
        <v>1.00238</v>
      </c>
    </row>
    <row r="573" spans="1:9" s="21" customFormat="1" ht="20.100000000000001" customHeight="1" x14ac:dyDescent="0.2">
      <c r="A573" s="22">
        <v>43923</v>
      </c>
      <c r="B573" s="23" t="s">
        <v>51</v>
      </c>
      <c r="C573" s="23">
        <v>8.5879999999999998E-2</v>
      </c>
      <c r="D573" s="23">
        <v>0.40188000000000001</v>
      </c>
      <c r="E573" s="23">
        <v>0.98163</v>
      </c>
      <c r="F573" s="23">
        <v>1.2424999999999999</v>
      </c>
      <c r="G573" s="23">
        <v>1.373</v>
      </c>
      <c r="H573" s="23">
        <v>1.20488</v>
      </c>
      <c r="I573" s="23">
        <v>1.06013</v>
      </c>
    </row>
    <row r="574" spans="1:9" s="21" customFormat="1" ht="20.100000000000001" customHeight="1" x14ac:dyDescent="0.2">
      <c r="A574" s="22">
        <v>43924</v>
      </c>
      <c r="B574" s="23" t="s">
        <v>52</v>
      </c>
      <c r="C574" s="23">
        <v>7.6630000000000004E-2</v>
      </c>
      <c r="D574" s="23">
        <v>0.29987999999999998</v>
      </c>
      <c r="E574" s="23">
        <v>0.98512999999999995</v>
      </c>
      <c r="F574" s="23">
        <v>1.202</v>
      </c>
      <c r="G574" s="23">
        <v>1.3873800000000001</v>
      </c>
      <c r="H574" s="23">
        <v>1.20888</v>
      </c>
      <c r="I574" s="23">
        <v>1.0498799999999999</v>
      </c>
    </row>
    <row r="575" spans="1:9" s="21" customFormat="1" ht="20.100000000000001" customHeight="1" x14ac:dyDescent="0.2">
      <c r="A575" s="22">
        <v>43927</v>
      </c>
      <c r="B575" s="23" t="s">
        <v>53</v>
      </c>
      <c r="C575" s="23">
        <v>7.4499999999999997E-2</v>
      </c>
      <c r="D575" s="23">
        <v>0.29187999999999997</v>
      </c>
      <c r="E575" s="23">
        <v>0.92125000000000001</v>
      </c>
      <c r="F575" s="23">
        <v>1.1100000000000001</v>
      </c>
      <c r="G575" s="23">
        <v>1.3523799999999999</v>
      </c>
      <c r="H575" s="23">
        <v>1.2382500000000001</v>
      </c>
      <c r="I575" s="23">
        <v>1.0426299999999999</v>
      </c>
    </row>
    <row r="576" spans="1:9" s="21" customFormat="1" ht="20.100000000000001" customHeight="1" x14ac:dyDescent="0.2">
      <c r="A576" s="22">
        <v>43928</v>
      </c>
      <c r="B576" s="23" t="s">
        <v>49</v>
      </c>
      <c r="C576" s="23">
        <v>7.6999999999999999E-2</v>
      </c>
      <c r="D576" s="23">
        <v>0.29375000000000001</v>
      </c>
      <c r="E576" s="23">
        <v>0.86350000000000005</v>
      </c>
      <c r="F576" s="23">
        <v>1.0991299999999999</v>
      </c>
      <c r="G576" s="23">
        <v>1.3198799999999999</v>
      </c>
      <c r="H576" s="23">
        <v>1.2244999999999999</v>
      </c>
      <c r="I576" s="23">
        <v>1.0447500000000001</v>
      </c>
    </row>
    <row r="577" spans="1:9" s="21" customFormat="1" ht="20.100000000000001" customHeight="1" x14ac:dyDescent="0.2">
      <c r="A577" s="22">
        <v>43929</v>
      </c>
      <c r="B577" s="23" t="s">
        <v>50</v>
      </c>
      <c r="C577" s="23">
        <v>7.1879999999999999E-2</v>
      </c>
      <c r="D577" s="23">
        <v>0.246</v>
      </c>
      <c r="E577" s="23">
        <v>0.82887999999999995</v>
      </c>
      <c r="F577" s="23">
        <v>1.0585</v>
      </c>
      <c r="G577" s="23">
        <v>1.31138</v>
      </c>
      <c r="H577" s="23">
        <v>1.2282500000000001</v>
      </c>
      <c r="I577" s="23">
        <v>1.0531299999999999</v>
      </c>
    </row>
    <row r="578" spans="1:9" s="21" customFormat="1" ht="20.100000000000001" customHeight="1" x14ac:dyDescent="0.2">
      <c r="A578" s="22">
        <v>43930</v>
      </c>
      <c r="B578" s="23" t="s">
        <v>51</v>
      </c>
      <c r="C578" s="23">
        <v>6.7750000000000005E-2</v>
      </c>
      <c r="D578" s="23">
        <v>0.23375000000000001</v>
      </c>
      <c r="E578" s="23">
        <v>0.81399999999999995</v>
      </c>
      <c r="F578" s="23">
        <v>1.0647500000000001</v>
      </c>
      <c r="G578" s="23">
        <v>1.21888</v>
      </c>
      <c r="H578" s="23">
        <v>1.2258800000000001</v>
      </c>
      <c r="I578" s="23">
        <v>1.05088</v>
      </c>
    </row>
    <row r="579" spans="1:9" s="21" customFormat="1" ht="20.100000000000001" customHeight="1" x14ac:dyDescent="0.2">
      <c r="A579" s="22">
        <v>43935</v>
      </c>
      <c r="B579" s="23" t="s">
        <v>49</v>
      </c>
      <c r="C579" s="23">
        <v>7.1629999999999999E-2</v>
      </c>
      <c r="D579" s="23">
        <v>0.22388</v>
      </c>
      <c r="E579" s="23">
        <v>0.79413</v>
      </c>
      <c r="F579" s="23">
        <v>1.0422499999999999</v>
      </c>
      <c r="G579" s="23">
        <v>1.1761299999999999</v>
      </c>
      <c r="H579" s="23">
        <v>1.1587499999999999</v>
      </c>
      <c r="I579" s="23">
        <v>1.0258799999999999</v>
      </c>
    </row>
    <row r="580" spans="1:9" s="21" customFormat="1" ht="20.100000000000001" customHeight="1" x14ac:dyDescent="0.2">
      <c r="A580" s="22">
        <v>43936</v>
      </c>
      <c r="B580" s="23" t="s">
        <v>50</v>
      </c>
      <c r="C580" s="23">
        <v>6.6129999999999994E-2</v>
      </c>
      <c r="D580" s="23">
        <v>0.2135</v>
      </c>
      <c r="E580" s="23">
        <v>0.75075000000000003</v>
      </c>
      <c r="F580" s="23">
        <v>1.0385</v>
      </c>
      <c r="G580" s="23">
        <v>1.1348800000000001</v>
      </c>
      <c r="H580" s="23">
        <v>1.1501300000000001</v>
      </c>
      <c r="I580" s="23">
        <v>1.01413</v>
      </c>
    </row>
    <row r="581" spans="1:9" s="21" customFormat="1" ht="20.100000000000001" customHeight="1" x14ac:dyDescent="0.2">
      <c r="A581" s="22">
        <v>43937</v>
      </c>
      <c r="B581" s="23" t="s">
        <v>51</v>
      </c>
      <c r="C581" s="23">
        <v>6.7000000000000004E-2</v>
      </c>
      <c r="D581" s="23">
        <v>0.20813000000000001</v>
      </c>
      <c r="E581" s="23">
        <v>0.71825000000000006</v>
      </c>
      <c r="F581" s="23">
        <v>0.97575000000000001</v>
      </c>
      <c r="G581" s="23">
        <v>1.1352500000000001</v>
      </c>
      <c r="H581" s="23">
        <v>1.125</v>
      </c>
      <c r="I581" s="23">
        <v>0.98124999999999996</v>
      </c>
    </row>
    <row r="582" spans="1:9" s="21" customFormat="1" ht="20.100000000000001" customHeight="1" x14ac:dyDescent="0.2">
      <c r="A582" s="22">
        <v>43938</v>
      </c>
      <c r="B582" s="23" t="s">
        <v>52</v>
      </c>
      <c r="C582" s="23">
        <v>6.7000000000000004E-2</v>
      </c>
      <c r="D582" s="23">
        <v>0.18049999999999999</v>
      </c>
      <c r="E582" s="23">
        <v>0.67274999999999996</v>
      </c>
      <c r="F582" s="23">
        <v>0.95238</v>
      </c>
      <c r="G582" s="23">
        <v>1.109</v>
      </c>
      <c r="H582" s="23">
        <v>1.1025</v>
      </c>
      <c r="I582" s="23">
        <v>0.98187999999999998</v>
      </c>
    </row>
    <row r="583" spans="1:9" s="21" customFormat="1" ht="20.100000000000001" customHeight="1" x14ac:dyDescent="0.2">
      <c r="A583" s="22">
        <v>43941</v>
      </c>
      <c r="B583" s="23" t="s">
        <v>53</v>
      </c>
      <c r="C583" s="23">
        <v>6.4630000000000007E-2</v>
      </c>
      <c r="D583" s="23">
        <v>0.189</v>
      </c>
      <c r="E583" s="23">
        <v>0.66737999999999997</v>
      </c>
      <c r="F583" s="23">
        <v>0.94125000000000003</v>
      </c>
      <c r="G583" s="23">
        <v>1.0976300000000001</v>
      </c>
      <c r="H583" s="23">
        <v>1.0758799999999999</v>
      </c>
      <c r="I583" s="23">
        <v>0.98212999999999995</v>
      </c>
    </row>
    <row r="584" spans="1:9" s="21" customFormat="1" ht="20.100000000000001" customHeight="1" x14ac:dyDescent="0.2">
      <c r="A584" s="22">
        <v>43942</v>
      </c>
      <c r="B584" s="23" t="s">
        <v>49</v>
      </c>
      <c r="C584" s="23">
        <v>6.3130000000000006E-2</v>
      </c>
      <c r="D584" s="23">
        <v>0.16875000000000001</v>
      </c>
      <c r="E584" s="23">
        <v>0.62463000000000002</v>
      </c>
      <c r="F584" s="23">
        <v>0.90788000000000002</v>
      </c>
      <c r="G584" s="23">
        <v>1.0429999999999999</v>
      </c>
      <c r="H584" s="23">
        <v>1.0242500000000001</v>
      </c>
      <c r="I584" s="23">
        <v>0.98650000000000004</v>
      </c>
    </row>
    <row r="585" spans="1:9" s="21" customFormat="1" ht="20.100000000000001" customHeight="1" x14ac:dyDescent="0.2">
      <c r="A585" s="22">
        <v>43943</v>
      </c>
      <c r="B585" s="23" t="s">
        <v>50</v>
      </c>
      <c r="C585" s="23">
        <v>6.3500000000000001E-2</v>
      </c>
      <c r="D585" s="23">
        <v>0.13338</v>
      </c>
      <c r="E585" s="23">
        <v>0.56974999999999998</v>
      </c>
      <c r="F585" s="23">
        <v>0.86638000000000004</v>
      </c>
      <c r="G585" s="23">
        <v>1.0202500000000001</v>
      </c>
      <c r="H585" s="23">
        <v>0.99063000000000001</v>
      </c>
      <c r="I585" s="23">
        <v>0.97038000000000002</v>
      </c>
    </row>
    <row r="586" spans="1:9" s="21" customFormat="1" ht="20.100000000000001" customHeight="1" x14ac:dyDescent="0.2">
      <c r="A586" s="22">
        <v>43944</v>
      </c>
      <c r="B586" s="23" t="s">
        <v>51</v>
      </c>
      <c r="C586" s="23">
        <v>5.8250000000000003E-2</v>
      </c>
      <c r="D586" s="23">
        <v>0.14138000000000001</v>
      </c>
      <c r="E586" s="23">
        <v>0.48725000000000002</v>
      </c>
      <c r="F586" s="23">
        <v>0.84413000000000005</v>
      </c>
      <c r="G586" s="23">
        <v>0.99138000000000004</v>
      </c>
      <c r="H586" s="23">
        <v>0.96525000000000005</v>
      </c>
      <c r="I586" s="23">
        <v>0.96025000000000005</v>
      </c>
    </row>
    <row r="587" spans="1:9" s="21" customFormat="1" ht="20.100000000000001" customHeight="1" x14ac:dyDescent="0.2">
      <c r="A587" s="22">
        <v>43945</v>
      </c>
      <c r="B587" s="23" t="s">
        <v>52</v>
      </c>
      <c r="C587" s="23">
        <v>5.6750000000000002E-2</v>
      </c>
      <c r="D587" s="23">
        <v>0.15662999999999999</v>
      </c>
      <c r="E587" s="23">
        <v>0.44087999999999999</v>
      </c>
      <c r="F587" s="23">
        <v>0.82774999999999999</v>
      </c>
      <c r="G587" s="23">
        <v>0.88712999999999997</v>
      </c>
      <c r="H587" s="23">
        <v>0.92225000000000001</v>
      </c>
      <c r="I587" s="23">
        <v>0.9395</v>
      </c>
    </row>
    <row r="588" spans="1:9" s="21" customFormat="1" ht="20.100000000000001" customHeight="1" x14ac:dyDescent="0.2">
      <c r="A588" s="22">
        <v>43948</v>
      </c>
      <c r="B588" s="23" t="s">
        <v>53</v>
      </c>
      <c r="C588" s="23">
        <v>5.6000000000000001E-2</v>
      </c>
      <c r="D588" s="23">
        <v>0.16513</v>
      </c>
      <c r="E588" s="23">
        <v>0.43763000000000002</v>
      </c>
      <c r="F588" s="23">
        <v>0.76349999999999996</v>
      </c>
      <c r="G588" s="23">
        <v>0.84075</v>
      </c>
      <c r="H588" s="23">
        <v>0.89312999999999998</v>
      </c>
      <c r="I588" s="23">
        <v>0.92513000000000001</v>
      </c>
    </row>
    <row r="589" spans="1:9" s="21" customFormat="1" ht="20.100000000000001" customHeight="1" x14ac:dyDescent="0.2">
      <c r="A589" s="22">
        <v>43949</v>
      </c>
      <c r="B589" s="23" t="s">
        <v>49</v>
      </c>
      <c r="C589" s="23">
        <v>5.0750000000000003E-2</v>
      </c>
      <c r="D589" s="23">
        <v>0.13650000000000001</v>
      </c>
      <c r="E589" s="23">
        <v>0.40362999999999999</v>
      </c>
      <c r="F589" s="23">
        <v>0.70250000000000001</v>
      </c>
      <c r="G589" s="23">
        <v>0.76012999999999997</v>
      </c>
      <c r="H589" s="23">
        <v>0.86187999999999998</v>
      </c>
      <c r="I589" s="23">
        <v>0.90974999999999995</v>
      </c>
    </row>
    <row r="590" spans="1:9" s="21" customFormat="1" ht="20.100000000000001" customHeight="1" x14ac:dyDescent="0.2">
      <c r="A590" s="22">
        <v>43950</v>
      </c>
      <c r="B590" s="23" t="s">
        <v>50</v>
      </c>
      <c r="C590" s="23">
        <v>5.4879999999999998E-2</v>
      </c>
      <c r="D590" s="23">
        <v>0.14788000000000001</v>
      </c>
      <c r="E590" s="23">
        <v>0.37013000000000001</v>
      </c>
      <c r="F590" s="23">
        <v>0.63763000000000003</v>
      </c>
      <c r="G590" s="23">
        <v>0.68662999999999996</v>
      </c>
      <c r="H590" s="23">
        <v>0.80488000000000004</v>
      </c>
      <c r="I590" s="23">
        <v>0.89863000000000004</v>
      </c>
    </row>
    <row r="591" spans="1:9" s="21" customFormat="1" ht="20.100000000000001" customHeight="1" x14ac:dyDescent="0.2">
      <c r="A591" s="22">
        <v>43951</v>
      </c>
      <c r="B591" s="23" t="s">
        <v>51</v>
      </c>
      <c r="C591" s="23">
        <v>6.0499999999999998E-2</v>
      </c>
      <c r="D591" s="23">
        <v>0.13188</v>
      </c>
      <c r="E591" s="23">
        <v>0.32962999999999998</v>
      </c>
      <c r="F591" s="23">
        <v>0.59050000000000002</v>
      </c>
      <c r="G591" s="23">
        <v>0.55613000000000001</v>
      </c>
      <c r="H591" s="23">
        <v>0.75949999999999995</v>
      </c>
      <c r="I591" s="23">
        <v>0.86463000000000001</v>
      </c>
    </row>
    <row r="592" spans="1:9" s="21" customFormat="1" ht="20.100000000000001" customHeight="1" x14ac:dyDescent="0.2">
      <c r="A592" s="22">
        <v>43952</v>
      </c>
      <c r="B592" s="23" t="s">
        <v>52</v>
      </c>
      <c r="C592" s="23">
        <v>5.8380000000000001E-2</v>
      </c>
      <c r="D592" s="23">
        <v>0.11588</v>
      </c>
      <c r="E592" s="23">
        <v>0.30337999999999998</v>
      </c>
      <c r="F592" s="23">
        <v>0.53974999999999995</v>
      </c>
      <c r="G592" s="23">
        <v>0.54088000000000003</v>
      </c>
      <c r="H592" s="23">
        <v>0.71299999999999997</v>
      </c>
      <c r="I592" s="23">
        <v>0.83550000000000002</v>
      </c>
    </row>
    <row r="593" spans="1:9" s="21" customFormat="1" ht="20.100000000000001" customHeight="1" x14ac:dyDescent="0.2">
      <c r="A593" s="22">
        <v>43955</v>
      </c>
      <c r="B593" s="23" t="s">
        <v>53</v>
      </c>
      <c r="C593" s="23">
        <v>5.7250000000000002E-2</v>
      </c>
      <c r="D593" s="23">
        <v>0.10163</v>
      </c>
      <c r="E593" s="23">
        <v>0.26274999999999998</v>
      </c>
      <c r="F593" s="23">
        <v>0.47975000000000001</v>
      </c>
      <c r="G593" s="23">
        <v>0.50087999999999999</v>
      </c>
      <c r="H593" s="23">
        <v>0.70450000000000002</v>
      </c>
      <c r="I593" s="23">
        <v>0.82862999999999998</v>
      </c>
    </row>
    <row r="594" spans="1:9" s="21" customFormat="1" ht="20.100000000000001" customHeight="1" x14ac:dyDescent="0.2">
      <c r="A594" s="22">
        <v>43956</v>
      </c>
      <c r="B594" s="23" t="s">
        <v>49</v>
      </c>
      <c r="C594" s="23">
        <v>5.7750000000000003E-2</v>
      </c>
      <c r="D594" s="23">
        <v>0.11475</v>
      </c>
      <c r="E594" s="23">
        <v>0.24725</v>
      </c>
      <c r="F594" s="23">
        <v>0.41338000000000003</v>
      </c>
      <c r="G594" s="23">
        <v>0.47399999999999998</v>
      </c>
      <c r="H594" s="23">
        <v>0.70013000000000003</v>
      </c>
      <c r="I594" s="23">
        <v>0.83125000000000004</v>
      </c>
    </row>
    <row r="595" spans="1:9" s="21" customFormat="1" ht="20.100000000000001" customHeight="1" x14ac:dyDescent="0.2">
      <c r="A595" s="22">
        <v>43957</v>
      </c>
      <c r="B595" s="23" t="s">
        <v>50</v>
      </c>
      <c r="C595" s="23">
        <v>6.25E-2</v>
      </c>
      <c r="D595" s="23">
        <v>0.10463</v>
      </c>
      <c r="E595" s="23">
        <v>0.22162999999999999</v>
      </c>
      <c r="F595" s="23">
        <v>0.38538</v>
      </c>
      <c r="G595" s="23">
        <v>0.44762999999999997</v>
      </c>
      <c r="H595" s="23">
        <v>0.69438</v>
      </c>
      <c r="I595" s="23">
        <v>0.79825000000000002</v>
      </c>
    </row>
    <row r="596" spans="1:9" s="21" customFormat="1" ht="20.100000000000001" customHeight="1" x14ac:dyDescent="0.2">
      <c r="A596" s="22">
        <v>43958</v>
      </c>
      <c r="B596" s="23" t="s">
        <v>51</v>
      </c>
      <c r="C596" s="23">
        <v>6.0999999999999999E-2</v>
      </c>
      <c r="D596" s="23">
        <v>0.11075</v>
      </c>
      <c r="E596" s="23">
        <v>0.19800000000000001</v>
      </c>
      <c r="F596" s="23">
        <v>0.35425000000000001</v>
      </c>
      <c r="G596" s="23">
        <v>0.43463000000000002</v>
      </c>
      <c r="H596" s="23">
        <v>0.68799999999999994</v>
      </c>
      <c r="I596" s="23">
        <v>0.78288000000000002</v>
      </c>
    </row>
    <row r="597" spans="1:9" s="21" customFormat="1" ht="20.100000000000001" customHeight="1" x14ac:dyDescent="0.2">
      <c r="A597" s="22">
        <v>43962</v>
      </c>
      <c r="B597" s="23" t="s">
        <v>53</v>
      </c>
      <c r="C597" s="23">
        <v>6.1629999999999997E-2</v>
      </c>
      <c r="D597" s="23">
        <v>9.5500000000000002E-2</v>
      </c>
      <c r="E597" s="23">
        <v>0.19087999999999999</v>
      </c>
      <c r="F597" s="23">
        <v>0.33912999999999999</v>
      </c>
      <c r="G597" s="23">
        <v>0.4335</v>
      </c>
      <c r="H597" s="23">
        <v>0.65888000000000002</v>
      </c>
      <c r="I597" s="23">
        <v>0.76563000000000003</v>
      </c>
    </row>
    <row r="598" spans="1:9" s="21" customFormat="1" ht="20.100000000000001" customHeight="1" x14ac:dyDescent="0.2">
      <c r="A598" s="22">
        <v>43963</v>
      </c>
      <c r="B598" s="23" t="s">
        <v>49</v>
      </c>
      <c r="C598" s="23">
        <v>6.0630000000000003E-2</v>
      </c>
      <c r="D598" s="23">
        <v>0.10025000000000001</v>
      </c>
      <c r="E598" s="23">
        <v>0.18387999999999999</v>
      </c>
      <c r="F598" s="23">
        <v>0.33188000000000001</v>
      </c>
      <c r="G598" s="23">
        <v>0.42399999999999999</v>
      </c>
      <c r="H598" s="23">
        <v>0.65863000000000005</v>
      </c>
      <c r="I598" s="23">
        <v>0.76875000000000004</v>
      </c>
    </row>
    <row r="599" spans="1:9" s="21" customFormat="1" ht="20.100000000000001" customHeight="1" x14ac:dyDescent="0.2">
      <c r="A599" s="22">
        <v>43964</v>
      </c>
      <c r="B599" s="23" t="s">
        <v>50</v>
      </c>
      <c r="C599" s="23">
        <v>6.0999999999999999E-2</v>
      </c>
      <c r="D599" s="23">
        <v>0.10075000000000001</v>
      </c>
      <c r="E599" s="23">
        <v>0.18362999999999999</v>
      </c>
      <c r="F599" s="23">
        <v>0.31524999999999997</v>
      </c>
      <c r="G599" s="23">
        <v>0.39238000000000001</v>
      </c>
      <c r="H599" s="23">
        <v>0.67513000000000001</v>
      </c>
      <c r="I599" s="23">
        <v>0.76937999999999995</v>
      </c>
    </row>
    <row r="600" spans="1:9" s="21" customFormat="1" ht="20.100000000000001" customHeight="1" x14ac:dyDescent="0.2">
      <c r="A600" s="22">
        <v>43965</v>
      </c>
      <c r="B600" s="23" t="s">
        <v>51</v>
      </c>
      <c r="C600" s="23">
        <v>6.1499999999999999E-2</v>
      </c>
      <c r="D600" s="23">
        <v>0.10588</v>
      </c>
      <c r="E600" s="23">
        <v>0.18212999999999999</v>
      </c>
      <c r="F600" s="23">
        <v>0.30213000000000001</v>
      </c>
      <c r="G600" s="23">
        <v>0.38562999999999997</v>
      </c>
      <c r="H600" s="23">
        <v>0.66537999999999997</v>
      </c>
      <c r="I600" s="23">
        <v>0.76175000000000004</v>
      </c>
    </row>
    <row r="601" spans="1:9" s="21" customFormat="1" ht="20.100000000000001" customHeight="1" x14ac:dyDescent="0.2">
      <c r="A601" s="22">
        <v>43966</v>
      </c>
      <c r="B601" s="23" t="s">
        <v>52</v>
      </c>
      <c r="C601" s="23">
        <v>6.2E-2</v>
      </c>
      <c r="D601" s="23">
        <v>9.8379999999999995E-2</v>
      </c>
      <c r="E601" s="23">
        <v>0.17238000000000001</v>
      </c>
      <c r="F601" s="23">
        <v>0.29449999999999998</v>
      </c>
      <c r="G601" s="23">
        <v>0.3805</v>
      </c>
      <c r="H601" s="23">
        <v>0.65900000000000003</v>
      </c>
      <c r="I601" s="23">
        <v>0.75538000000000005</v>
      </c>
    </row>
    <row r="602" spans="1:9" s="21" customFormat="1" ht="20.100000000000001" customHeight="1" x14ac:dyDescent="0.2">
      <c r="A602" s="22">
        <v>43969</v>
      </c>
      <c r="B602" s="23" t="s">
        <v>53</v>
      </c>
      <c r="C602" s="23">
        <v>5.9749999999999998E-2</v>
      </c>
      <c r="D602" s="23">
        <v>0.1</v>
      </c>
      <c r="E602" s="23">
        <v>0.17075000000000001</v>
      </c>
      <c r="F602" s="23">
        <v>0.29925000000000002</v>
      </c>
      <c r="G602" s="23">
        <v>0.37663000000000002</v>
      </c>
      <c r="H602" s="23">
        <v>0.62812999999999997</v>
      </c>
      <c r="I602" s="23">
        <v>0.71825000000000006</v>
      </c>
    </row>
    <row r="603" spans="1:9" s="21" customFormat="1" ht="20.100000000000001" customHeight="1" x14ac:dyDescent="0.2">
      <c r="A603" s="22">
        <v>43970</v>
      </c>
      <c r="B603" s="23" t="s">
        <v>49</v>
      </c>
      <c r="C603" s="23">
        <v>6.0380000000000003E-2</v>
      </c>
      <c r="D603" s="23">
        <v>9.2999999999999999E-2</v>
      </c>
      <c r="E603" s="23">
        <v>0.17088</v>
      </c>
      <c r="F603" s="23">
        <v>0.30537999999999998</v>
      </c>
      <c r="G603" s="23">
        <v>0.37413000000000002</v>
      </c>
      <c r="H603" s="23">
        <v>0.59038000000000002</v>
      </c>
      <c r="I603" s="23">
        <v>0.72187999999999997</v>
      </c>
    </row>
    <row r="604" spans="1:9" s="21" customFormat="1" ht="20.100000000000001" customHeight="1" x14ac:dyDescent="0.2">
      <c r="A604" s="22">
        <v>43971</v>
      </c>
      <c r="B604" s="23" t="s">
        <v>50</v>
      </c>
      <c r="C604" s="23">
        <v>6.2379999999999998E-2</v>
      </c>
      <c r="D604" s="23">
        <v>9.425E-2</v>
      </c>
      <c r="E604" s="23">
        <v>0.17299999999999999</v>
      </c>
      <c r="F604" s="23">
        <v>0.28825000000000001</v>
      </c>
      <c r="G604" s="23">
        <v>0.35799999999999998</v>
      </c>
      <c r="H604" s="23">
        <v>0.58613000000000004</v>
      </c>
      <c r="I604" s="23">
        <v>0.70638000000000001</v>
      </c>
    </row>
    <row r="605" spans="1:9" s="21" customFormat="1" ht="20.100000000000001" customHeight="1" x14ac:dyDescent="0.2">
      <c r="A605" s="22">
        <v>43972</v>
      </c>
      <c r="B605" s="23" t="s">
        <v>51</v>
      </c>
      <c r="C605" s="23">
        <v>6.1129999999999997E-2</v>
      </c>
      <c r="D605" s="23">
        <v>9.35E-2</v>
      </c>
      <c r="E605" s="23">
        <v>0.16825000000000001</v>
      </c>
      <c r="F605" s="23">
        <v>0.27738000000000002</v>
      </c>
      <c r="G605" s="23">
        <v>0.35949999999999999</v>
      </c>
      <c r="H605" s="23">
        <v>0.57662999999999998</v>
      </c>
      <c r="I605" s="23">
        <v>0.68488000000000004</v>
      </c>
    </row>
    <row r="606" spans="1:9" s="21" customFormat="1" ht="20.100000000000001" customHeight="1" x14ac:dyDescent="0.2">
      <c r="A606" s="22">
        <v>43973</v>
      </c>
      <c r="B606" s="23" t="s">
        <v>52</v>
      </c>
      <c r="C606" s="23">
        <v>6.0749999999999998E-2</v>
      </c>
      <c r="D606" s="23">
        <v>9.1999999999999998E-2</v>
      </c>
      <c r="E606" s="23">
        <v>0.17374999999999999</v>
      </c>
      <c r="F606" s="23">
        <v>0.28162999999999999</v>
      </c>
      <c r="G606" s="23">
        <v>0.36925000000000002</v>
      </c>
      <c r="H606" s="23">
        <v>0.56999999999999995</v>
      </c>
      <c r="I606" s="23">
        <v>0.68174999999999997</v>
      </c>
    </row>
    <row r="607" spans="1:9" s="21" customFormat="1" ht="20.100000000000001" customHeight="1" x14ac:dyDescent="0.2">
      <c r="A607" s="22">
        <v>43977</v>
      </c>
      <c r="B607" s="23" t="s">
        <v>49</v>
      </c>
      <c r="C607" s="23">
        <v>6.0249999999999998E-2</v>
      </c>
      <c r="D607" s="23">
        <v>9.4880000000000006E-2</v>
      </c>
      <c r="E607" s="23">
        <v>0.16950000000000001</v>
      </c>
      <c r="F607" s="23">
        <v>0.28525</v>
      </c>
      <c r="G607" s="23">
        <v>0.37125000000000002</v>
      </c>
      <c r="H607" s="23">
        <v>0.57162999999999997</v>
      </c>
      <c r="I607" s="23">
        <v>0.67974999999999997</v>
      </c>
    </row>
    <row r="608" spans="1:9" s="21" customFormat="1" ht="20.100000000000001" customHeight="1" x14ac:dyDescent="0.2">
      <c r="A608" s="22">
        <v>43978</v>
      </c>
      <c r="B608" s="23" t="s">
        <v>50</v>
      </c>
      <c r="C608" s="23">
        <v>6.1629999999999997E-2</v>
      </c>
      <c r="D608" s="23">
        <v>8.8249999999999995E-2</v>
      </c>
      <c r="E608" s="23">
        <v>0.17363000000000001</v>
      </c>
      <c r="F608" s="23">
        <v>0.28875000000000001</v>
      </c>
      <c r="G608" s="23">
        <v>0.36249999999999999</v>
      </c>
      <c r="H608" s="23">
        <v>0.54837999999999998</v>
      </c>
      <c r="I608" s="23">
        <v>0.68049999999999999</v>
      </c>
    </row>
    <row r="609" spans="1:9" s="21" customFormat="1" ht="20.100000000000001" customHeight="1" x14ac:dyDescent="0.2">
      <c r="A609" s="22">
        <v>43979</v>
      </c>
      <c r="B609" s="23" t="s">
        <v>51</v>
      </c>
      <c r="C609" s="23">
        <v>6.3E-2</v>
      </c>
      <c r="D609" s="23">
        <v>9.1499999999999998E-2</v>
      </c>
      <c r="E609" s="23">
        <v>0.17263000000000001</v>
      </c>
      <c r="F609" s="23">
        <v>0.27712999999999999</v>
      </c>
      <c r="G609" s="23">
        <v>0.35</v>
      </c>
      <c r="H609" s="23">
        <v>0.51500000000000001</v>
      </c>
      <c r="I609" s="23">
        <v>0.67688000000000004</v>
      </c>
    </row>
    <row r="610" spans="1:9" s="21" customFormat="1" ht="20.100000000000001" customHeight="1" x14ac:dyDescent="0.2">
      <c r="A610" s="22">
        <v>43980</v>
      </c>
      <c r="B610" s="23" t="s">
        <v>52</v>
      </c>
      <c r="C610" s="23">
        <v>6.1499999999999999E-2</v>
      </c>
      <c r="D610" s="23">
        <v>9.1630000000000003E-2</v>
      </c>
      <c r="E610" s="23">
        <v>0.1825</v>
      </c>
      <c r="F610" s="23">
        <v>0.27900000000000003</v>
      </c>
      <c r="G610" s="23">
        <v>0.34399999999999997</v>
      </c>
      <c r="H610" s="23">
        <v>0.50975000000000004</v>
      </c>
      <c r="I610" s="23">
        <v>0.67349999999999999</v>
      </c>
    </row>
    <row r="611" spans="1:9" s="21" customFormat="1" ht="20.100000000000001" customHeight="1" x14ac:dyDescent="0.2">
      <c r="A611" s="22">
        <v>43983</v>
      </c>
      <c r="B611" s="23" t="s">
        <v>53</v>
      </c>
      <c r="C611" s="23">
        <v>6.2E-2</v>
      </c>
      <c r="D611" s="23">
        <v>9.7750000000000004E-2</v>
      </c>
      <c r="E611" s="23">
        <v>0.17813000000000001</v>
      </c>
      <c r="F611" s="23">
        <v>0.255</v>
      </c>
      <c r="G611" s="23">
        <v>0.33712999999999999</v>
      </c>
      <c r="H611" s="23">
        <v>0.49625000000000002</v>
      </c>
      <c r="I611" s="23">
        <v>0.63749999999999996</v>
      </c>
    </row>
    <row r="612" spans="1:9" s="21" customFormat="1" ht="20.100000000000001" customHeight="1" x14ac:dyDescent="0.2">
      <c r="A612" s="22">
        <v>43984</v>
      </c>
      <c r="B612" s="23" t="s">
        <v>49</v>
      </c>
      <c r="C612" s="23">
        <v>6.5000000000000002E-2</v>
      </c>
      <c r="D612" s="23">
        <v>9.1749999999999998E-2</v>
      </c>
      <c r="E612" s="23">
        <v>0.17874999999999999</v>
      </c>
      <c r="F612" s="23">
        <v>0.24537999999999999</v>
      </c>
      <c r="G612" s="23">
        <v>0.33050000000000002</v>
      </c>
      <c r="H612" s="23">
        <v>0.48199999999999998</v>
      </c>
      <c r="I612" s="23">
        <v>0.62549999999999994</v>
      </c>
    </row>
    <row r="613" spans="1:9" s="21" customFormat="1" ht="20.100000000000001" customHeight="1" x14ac:dyDescent="0.2">
      <c r="A613" s="22">
        <v>43985</v>
      </c>
      <c r="B613" s="23" t="s">
        <v>50</v>
      </c>
      <c r="C613" s="23">
        <v>6.1879999999999998E-2</v>
      </c>
      <c r="D613" s="23">
        <v>8.863E-2</v>
      </c>
      <c r="E613" s="23">
        <v>0.17363000000000001</v>
      </c>
      <c r="F613" s="23">
        <v>0.23974999999999999</v>
      </c>
      <c r="G613" s="23">
        <v>0.32662999999999998</v>
      </c>
      <c r="H613" s="23">
        <v>0.47649999999999998</v>
      </c>
      <c r="I613" s="23">
        <v>0.62250000000000005</v>
      </c>
    </row>
    <row r="614" spans="1:9" s="21" customFormat="1" ht="20.100000000000001" customHeight="1" x14ac:dyDescent="0.2">
      <c r="A614" s="22">
        <v>43986</v>
      </c>
      <c r="B614" s="23" t="s">
        <v>51</v>
      </c>
      <c r="C614" s="23">
        <v>5.9749999999999998E-2</v>
      </c>
      <c r="D614" s="23">
        <v>9.5000000000000001E-2</v>
      </c>
      <c r="E614" s="23">
        <v>0.17524999999999999</v>
      </c>
      <c r="F614" s="23">
        <v>0.25963000000000003</v>
      </c>
      <c r="G614" s="23">
        <v>0.31763000000000002</v>
      </c>
      <c r="H614" s="23">
        <v>0.48049999999999998</v>
      </c>
      <c r="I614" s="23">
        <v>0.62775000000000003</v>
      </c>
    </row>
    <row r="615" spans="1:9" s="21" customFormat="1" ht="20.100000000000001" customHeight="1" x14ac:dyDescent="0.2">
      <c r="A615" s="22">
        <v>43987</v>
      </c>
      <c r="B615" s="23" t="s">
        <v>52</v>
      </c>
      <c r="C615" s="23">
        <v>6.25E-2</v>
      </c>
      <c r="D615" s="23">
        <v>9.6129999999999993E-2</v>
      </c>
      <c r="E615" s="23">
        <v>0.18013000000000001</v>
      </c>
      <c r="F615" s="23">
        <v>0.26574999999999999</v>
      </c>
      <c r="G615" s="23">
        <v>0.31287999999999999</v>
      </c>
      <c r="H615" s="23">
        <v>0.48125000000000001</v>
      </c>
      <c r="I615" s="23">
        <v>0.63400000000000001</v>
      </c>
    </row>
    <row r="616" spans="1:9" s="21" customFormat="1" ht="20.100000000000001" customHeight="1" x14ac:dyDescent="0.2">
      <c r="A616" s="22">
        <v>43990</v>
      </c>
      <c r="B616" s="23" t="s">
        <v>53</v>
      </c>
      <c r="C616" s="23">
        <v>6.0749999999999998E-2</v>
      </c>
      <c r="D616" s="23">
        <v>9.7129999999999994E-2</v>
      </c>
      <c r="E616" s="23">
        <v>0.17663000000000001</v>
      </c>
      <c r="F616" s="23">
        <v>0.26124999999999998</v>
      </c>
      <c r="G616" s="23">
        <v>0.30975000000000003</v>
      </c>
      <c r="H616" s="23">
        <v>0.48337999999999998</v>
      </c>
      <c r="I616" s="23">
        <v>0.62988</v>
      </c>
    </row>
    <row r="617" spans="1:9" s="21" customFormat="1" ht="20.100000000000001" customHeight="1" x14ac:dyDescent="0.2">
      <c r="A617" s="22">
        <v>43991</v>
      </c>
      <c r="B617" s="23" t="s">
        <v>49</v>
      </c>
      <c r="C617" s="23">
        <v>6.3E-2</v>
      </c>
      <c r="D617" s="23">
        <v>0.1045</v>
      </c>
      <c r="E617" s="23">
        <v>0.18787999999999999</v>
      </c>
      <c r="F617" s="23">
        <v>0.26800000000000002</v>
      </c>
      <c r="G617" s="23">
        <v>0.31463000000000002</v>
      </c>
      <c r="H617" s="23">
        <v>0.46050000000000002</v>
      </c>
      <c r="I617" s="23">
        <v>0.63275000000000003</v>
      </c>
    </row>
    <row r="618" spans="1:9" s="21" customFormat="1" ht="20.100000000000001" customHeight="1" x14ac:dyDescent="0.2">
      <c r="A618" s="22">
        <v>43992</v>
      </c>
      <c r="B618" s="23" t="s">
        <v>50</v>
      </c>
      <c r="C618" s="23">
        <v>6.3250000000000001E-2</v>
      </c>
      <c r="D618" s="23">
        <v>0.10463</v>
      </c>
      <c r="E618" s="23">
        <v>0.1905</v>
      </c>
      <c r="F618" s="23">
        <v>0.26738000000000001</v>
      </c>
      <c r="G618" s="23">
        <v>0.31838</v>
      </c>
      <c r="H618" s="23">
        <v>0.42649999999999999</v>
      </c>
      <c r="I618" s="23">
        <v>0.64549999999999996</v>
      </c>
    </row>
    <row r="619" spans="1:9" s="21" customFormat="1" ht="20.100000000000001" customHeight="1" x14ac:dyDescent="0.2">
      <c r="A619" s="22">
        <v>43993</v>
      </c>
      <c r="B619" s="23" t="s">
        <v>51</v>
      </c>
      <c r="C619" s="23">
        <v>6.5500000000000003E-2</v>
      </c>
      <c r="D619" s="23">
        <v>0.105</v>
      </c>
      <c r="E619" s="23">
        <v>0.18475</v>
      </c>
      <c r="F619" s="23">
        <v>0.26050000000000001</v>
      </c>
      <c r="G619" s="23">
        <v>0.31337999999999999</v>
      </c>
      <c r="H619" s="23">
        <v>0.41963</v>
      </c>
      <c r="I619" s="23">
        <v>0.60463</v>
      </c>
    </row>
    <row r="620" spans="1:9" s="21" customFormat="1" ht="20.100000000000001" customHeight="1" x14ac:dyDescent="0.2">
      <c r="A620" s="22">
        <v>43994</v>
      </c>
      <c r="B620" s="23" t="s">
        <v>52</v>
      </c>
      <c r="C620" s="23">
        <v>6.6129999999999994E-2</v>
      </c>
      <c r="D620" s="23">
        <v>0.11038000000000001</v>
      </c>
      <c r="E620" s="23">
        <v>0.19513</v>
      </c>
      <c r="F620" s="23">
        <v>0.27050000000000002</v>
      </c>
      <c r="G620" s="23">
        <v>0.32088</v>
      </c>
      <c r="H620" s="23">
        <v>0.432</v>
      </c>
      <c r="I620" s="23">
        <v>0.59338000000000002</v>
      </c>
    </row>
    <row r="621" spans="1:9" s="21" customFormat="1" ht="20.100000000000001" customHeight="1" x14ac:dyDescent="0.2">
      <c r="A621" s="22">
        <v>43997</v>
      </c>
      <c r="B621" s="23" t="s">
        <v>53</v>
      </c>
      <c r="C621" s="23">
        <v>6.9750000000000006E-2</v>
      </c>
      <c r="D621" s="23">
        <v>0.111</v>
      </c>
      <c r="E621" s="23">
        <v>0.19388</v>
      </c>
      <c r="F621" s="23">
        <v>0.27800000000000002</v>
      </c>
      <c r="G621" s="23">
        <v>0.29899999999999999</v>
      </c>
      <c r="H621" s="23">
        <v>0.43087999999999999</v>
      </c>
      <c r="I621" s="23">
        <v>0.59075</v>
      </c>
    </row>
    <row r="622" spans="1:9" s="21" customFormat="1" ht="20.100000000000001" customHeight="1" x14ac:dyDescent="0.2">
      <c r="A622" s="22">
        <v>43998</v>
      </c>
      <c r="B622" s="23" t="s">
        <v>49</v>
      </c>
      <c r="C622" s="23">
        <v>7.1629999999999999E-2</v>
      </c>
      <c r="D622" s="23">
        <v>0.1125</v>
      </c>
      <c r="E622" s="23">
        <v>0.19375000000000001</v>
      </c>
      <c r="F622" s="23">
        <v>0.28438000000000002</v>
      </c>
      <c r="G622" s="23">
        <v>0.30787999999999999</v>
      </c>
      <c r="H622" s="23">
        <v>0.42975000000000002</v>
      </c>
      <c r="I622" s="23">
        <v>0.58550000000000002</v>
      </c>
    </row>
    <row r="623" spans="1:9" s="21" customFormat="1" ht="20.100000000000001" customHeight="1" x14ac:dyDescent="0.2">
      <c r="A623" s="22">
        <v>43999</v>
      </c>
      <c r="B623" s="23" t="s">
        <v>50</v>
      </c>
      <c r="C623" s="23">
        <v>7.5499999999999998E-2</v>
      </c>
      <c r="D623" s="23">
        <v>0.11275</v>
      </c>
      <c r="E623" s="23">
        <v>0.19388</v>
      </c>
      <c r="F623" s="23">
        <v>0.28249999999999997</v>
      </c>
      <c r="G623" s="23">
        <v>0.31624999999999998</v>
      </c>
      <c r="H623" s="23">
        <v>0.42475000000000002</v>
      </c>
      <c r="I623" s="23">
        <v>0.58387999999999995</v>
      </c>
    </row>
    <row r="624" spans="1:9" s="21" customFormat="1" ht="20.100000000000001" customHeight="1" x14ac:dyDescent="0.2">
      <c r="A624" s="22">
        <v>44000</v>
      </c>
      <c r="B624" s="23" t="s">
        <v>51</v>
      </c>
      <c r="C624" s="23">
        <v>7.6380000000000003E-2</v>
      </c>
      <c r="D624" s="23">
        <v>0.1125</v>
      </c>
      <c r="E624" s="23">
        <v>0.19</v>
      </c>
      <c r="F624" s="23">
        <v>0.27388000000000001</v>
      </c>
      <c r="G624" s="23">
        <v>0.30637999999999999</v>
      </c>
      <c r="H624" s="23">
        <v>0.42475000000000002</v>
      </c>
      <c r="I624" s="23">
        <v>0.57738</v>
      </c>
    </row>
    <row r="625" spans="1:9" s="21" customFormat="1" ht="20.100000000000001" customHeight="1" x14ac:dyDescent="0.2">
      <c r="A625" s="22">
        <v>44001</v>
      </c>
      <c r="B625" s="23" t="s">
        <v>52</v>
      </c>
      <c r="C625" s="23">
        <v>7.5249999999999997E-2</v>
      </c>
      <c r="D625" s="23">
        <v>0.1125</v>
      </c>
      <c r="E625" s="23">
        <v>0.19012999999999999</v>
      </c>
      <c r="F625" s="23">
        <v>0.26700000000000002</v>
      </c>
      <c r="G625" s="23">
        <v>0.30513000000000001</v>
      </c>
      <c r="H625" s="23">
        <v>0.41449999999999998</v>
      </c>
      <c r="I625" s="23">
        <v>0.57574999999999998</v>
      </c>
    </row>
    <row r="626" spans="1:9" s="21" customFormat="1" ht="20.100000000000001" customHeight="1" x14ac:dyDescent="0.2">
      <c r="A626" s="22">
        <v>44004</v>
      </c>
      <c r="B626" s="23" t="s">
        <v>53</v>
      </c>
      <c r="C626" s="23">
        <v>6.9879999999999998E-2</v>
      </c>
      <c r="D626" s="23">
        <v>0.10563</v>
      </c>
      <c r="E626" s="23">
        <v>0.18475</v>
      </c>
      <c r="F626" s="23">
        <v>0.25788</v>
      </c>
      <c r="G626" s="23">
        <v>0.29663</v>
      </c>
      <c r="H626" s="23">
        <v>0.39450000000000002</v>
      </c>
      <c r="I626" s="23">
        <v>0.57374999999999998</v>
      </c>
    </row>
    <row r="627" spans="1:9" s="21" customFormat="1" ht="20.100000000000001" customHeight="1" x14ac:dyDescent="0.2">
      <c r="A627" s="22">
        <v>44005</v>
      </c>
      <c r="B627" s="23" t="s">
        <v>49</v>
      </c>
      <c r="C627" s="23">
        <v>7.1129999999999999E-2</v>
      </c>
      <c r="D627" s="23">
        <v>0.1085</v>
      </c>
      <c r="E627" s="23">
        <v>0.1845</v>
      </c>
      <c r="F627" s="23">
        <v>0.252</v>
      </c>
      <c r="G627" s="23">
        <v>0.29687999999999998</v>
      </c>
      <c r="H627" s="23">
        <v>0.38263000000000003</v>
      </c>
      <c r="I627" s="23">
        <v>0.56537999999999999</v>
      </c>
    </row>
    <row r="628" spans="1:9" s="21" customFormat="1" ht="20.100000000000001" customHeight="1" x14ac:dyDescent="0.2">
      <c r="A628" s="22">
        <v>44006</v>
      </c>
      <c r="B628" s="23" t="s">
        <v>50</v>
      </c>
      <c r="C628" s="23">
        <v>7.4249999999999997E-2</v>
      </c>
      <c r="D628" s="23">
        <v>0.10388</v>
      </c>
      <c r="E628" s="23">
        <v>0.17949999999999999</v>
      </c>
      <c r="F628" s="23">
        <v>0.24188000000000001</v>
      </c>
      <c r="G628" s="23">
        <v>0.28375</v>
      </c>
      <c r="H628" s="23">
        <v>0.37938</v>
      </c>
      <c r="I628" s="23">
        <v>0.56374999999999997</v>
      </c>
    </row>
    <row r="629" spans="1:9" s="21" customFormat="1" ht="20.100000000000001" customHeight="1" x14ac:dyDescent="0.2">
      <c r="A629" s="22">
        <v>44007</v>
      </c>
      <c r="B629" s="23" t="s">
        <v>51</v>
      </c>
      <c r="C629" s="23">
        <v>7.5630000000000003E-2</v>
      </c>
      <c r="D629" s="23">
        <v>0.10663</v>
      </c>
      <c r="E629" s="23">
        <v>0.18362999999999999</v>
      </c>
      <c r="F629" s="23">
        <v>0.24925</v>
      </c>
      <c r="G629" s="23">
        <v>0.30599999999999999</v>
      </c>
      <c r="H629" s="23">
        <v>0.36463000000000001</v>
      </c>
      <c r="I629" s="23">
        <v>0.57038</v>
      </c>
    </row>
    <row r="630" spans="1:9" s="21" customFormat="1" ht="20.100000000000001" customHeight="1" x14ac:dyDescent="0.2">
      <c r="A630" s="22">
        <v>44008</v>
      </c>
      <c r="B630" s="23" t="s">
        <v>52</v>
      </c>
      <c r="C630" s="23">
        <v>7.1129999999999999E-2</v>
      </c>
      <c r="D630" s="23">
        <v>0.10725</v>
      </c>
      <c r="E630" s="23">
        <v>0.17824999999999999</v>
      </c>
      <c r="F630" s="23">
        <v>0.24263000000000001</v>
      </c>
      <c r="G630" s="23">
        <v>0.30787999999999999</v>
      </c>
      <c r="H630" s="23">
        <v>0.36137999999999998</v>
      </c>
      <c r="I630" s="23">
        <v>0.56625000000000003</v>
      </c>
    </row>
    <row r="631" spans="1:9" s="21" customFormat="1" ht="20.100000000000001" customHeight="1" x14ac:dyDescent="0.2">
      <c r="A631" s="22">
        <v>44011</v>
      </c>
      <c r="B631" s="23" t="s">
        <v>53</v>
      </c>
      <c r="C631" s="23">
        <v>8.1750000000000003E-2</v>
      </c>
      <c r="D631" s="23">
        <v>0.105</v>
      </c>
      <c r="E631" s="23">
        <v>0.17100000000000001</v>
      </c>
      <c r="F631" s="23">
        <v>0.23724999999999999</v>
      </c>
      <c r="G631" s="23">
        <v>0.29613</v>
      </c>
      <c r="H631" s="23">
        <v>0.36687999999999998</v>
      </c>
      <c r="I631" s="23">
        <v>0.55588000000000004</v>
      </c>
    </row>
    <row r="632" spans="1:9" s="21" customFormat="1" ht="20.100000000000001" customHeight="1" x14ac:dyDescent="0.2">
      <c r="A632" s="22">
        <v>44012</v>
      </c>
      <c r="B632" s="23" t="s">
        <v>49</v>
      </c>
      <c r="C632" s="23">
        <v>8.0879999999999994E-2</v>
      </c>
      <c r="D632" s="23">
        <v>9.6629999999999994E-2</v>
      </c>
      <c r="E632" s="23">
        <v>0.16225000000000001</v>
      </c>
      <c r="F632" s="23">
        <v>0.22875000000000001</v>
      </c>
      <c r="G632" s="23">
        <v>0.30199999999999999</v>
      </c>
      <c r="H632" s="23">
        <v>0.36925000000000002</v>
      </c>
      <c r="I632" s="23">
        <v>0.54574999999999996</v>
      </c>
    </row>
    <row r="633" spans="1:9" s="21" customFormat="1" ht="20.100000000000001" customHeight="1" x14ac:dyDescent="0.2">
      <c r="A633" s="22">
        <v>44013</v>
      </c>
      <c r="B633" s="23" t="s">
        <v>50</v>
      </c>
      <c r="C633" s="23">
        <v>7.6630000000000004E-2</v>
      </c>
      <c r="D633" s="23">
        <v>0.10338</v>
      </c>
      <c r="E633" s="23">
        <v>0.16625000000000001</v>
      </c>
      <c r="F633" s="23">
        <v>0.23338</v>
      </c>
      <c r="G633" s="23">
        <v>0.29849999999999999</v>
      </c>
      <c r="H633" s="23">
        <v>0.38424999999999998</v>
      </c>
      <c r="I633" s="23">
        <v>0.53325</v>
      </c>
    </row>
    <row r="634" spans="1:9" s="21" customFormat="1" ht="20.100000000000001" customHeight="1" x14ac:dyDescent="0.2">
      <c r="A634" s="22">
        <v>44014</v>
      </c>
      <c r="B634" s="23" t="s">
        <v>51</v>
      </c>
      <c r="C634" s="23">
        <v>8.2879999999999995E-2</v>
      </c>
      <c r="D634" s="23">
        <v>0.10150000000000001</v>
      </c>
      <c r="E634" s="23">
        <v>0.16375000000000001</v>
      </c>
      <c r="F634" s="23">
        <v>0.23375000000000001</v>
      </c>
      <c r="G634" s="23">
        <v>0.30375000000000002</v>
      </c>
      <c r="H634" s="23">
        <v>0.36613000000000001</v>
      </c>
      <c r="I634" s="23">
        <v>0.53863000000000005</v>
      </c>
    </row>
    <row r="635" spans="1:9" s="21" customFormat="1" ht="20.100000000000001" customHeight="1" x14ac:dyDescent="0.2">
      <c r="A635" s="22">
        <v>44015</v>
      </c>
      <c r="B635" s="23" t="s">
        <v>52</v>
      </c>
      <c r="C635" s="23">
        <v>8.2879999999999995E-2</v>
      </c>
      <c r="D635" s="23">
        <v>0.10913</v>
      </c>
      <c r="E635" s="23">
        <v>0.16263</v>
      </c>
      <c r="F635" s="23">
        <v>0.23375000000000001</v>
      </c>
      <c r="G635" s="23">
        <v>0.27588000000000001</v>
      </c>
      <c r="H635" s="23">
        <v>0.36625000000000002</v>
      </c>
      <c r="I635" s="23">
        <v>0.50563000000000002</v>
      </c>
    </row>
    <row r="636" spans="1:9" s="21" customFormat="1" ht="20.100000000000001" customHeight="1" x14ac:dyDescent="0.2">
      <c r="A636" s="22">
        <v>44018</v>
      </c>
      <c r="B636" s="23" t="s">
        <v>53</v>
      </c>
      <c r="C636" s="23">
        <v>8.2879999999999995E-2</v>
      </c>
      <c r="D636" s="23">
        <v>0.11325</v>
      </c>
      <c r="E636" s="23">
        <v>0.16588</v>
      </c>
      <c r="F636" s="23">
        <v>0.23549999999999999</v>
      </c>
      <c r="G636" s="23">
        <v>0.27650000000000002</v>
      </c>
      <c r="H636" s="23">
        <v>0.36425000000000002</v>
      </c>
      <c r="I636" s="23">
        <v>0.51563000000000003</v>
      </c>
    </row>
    <row r="637" spans="1:9" s="21" customFormat="1" ht="20.100000000000001" customHeight="1" x14ac:dyDescent="0.2">
      <c r="A637" s="22">
        <v>44019</v>
      </c>
      <c r="B637" s="23" t="s">
        <v>49</v>
      </c>
      <c r="C637" s="23">
        <v>8.3000000000000004E-2</v>
      </c>
      <c r="D637" s="23">
        <v>0.112</v>
      </c>
      <c r="E637" s="23">
        <v>0.1825</v>
      </c>
      <c r="F637" s="23">
        <v>0.23313</v>
      </c>
      <c r="G637" s="23">
        <v>0.26838000000000001</v>
      </c>
      <c r="H637" s="23">
        <v>0.36025000000000001</v>
      </c>
      <c r="I637" s="23">
        <v>0.49225000000000002</v>
      </c>
    </row>
    <row r="638" spans="1:9" s="21" customFormat="1" ht="20.100000000000001" customHeight="1" x14ac:dyDescent="0.2">
      <c r="A638" s="22">
        <v>44020</v>
      </c>
      <c r="B638" s="23" t="s">
        <v>50</v>
      </c>
      <c r="C638" s="23">
        <v>8.2879999999999995E-2</v>
      </c>
      <c r="D638" s="23">
        <v>0.11125</v>
      </c>
      <c r="E638" s="23">
        <v>0.18825</v>
      </c>
      <c r="F638" s="23">
        <v>0.23638000000000001</v>
      </c>
      <c r="G638" s="23">
        <v>0.27288000000000001</v>
      </c>
      <c r="H638" s="23">
        <v>0.35338000000000003</v>
      </c>
      <c r="I638" s="23">
        <v>0.48813000000000001</v>
      </c>
    </row>
    <row r="639" spans="1:9" s="21" customFormat="1" ht="20.100000000000001" customHeight="1" x14ac:dyDescent="0.2">
      <c r="A639" s="22">
        <v>44021</v>
      </c>
      <c r="B639" s="23" t="s">
        <v>51</v>
      </c>
      <c r="C639" s="23">
        <v>8.1750000000000003E-2</v>
      </c>
      <c r="D639" s="23">
        <v>0.10938000000000001</v>
      </c>
      <c r="E639" s="23">
        <v>0.17824999999999999</v>
      </c>
      <c r="F639" s="23">
        <v>0.23463000000000001</v>
      </c>
      <c r="G639" s="23">
        <v>0.26624999999999999</v>
      </c>
      <c r="H639" s="23">
        <v>0.34849999999999998</v>
      </c>
      <c r="I639" s="23">
        <v>0.48413</v>
      </c>
    </row>
    <row r="640" spans="1:9" s="21" customFormat="1" ht="20.100000000000001" customHeight="1" x14ac:dyDescent="0.2">
      <c r="A640" s="22">
        <v>44022</v>
      </c>
      <c r="B640" s="23" t="s">
        <v>52</v>
      </c>
      <c r="C640" s="23">
        <v>8.1379999999999994E-2</v>
      </c>
      <c r="D640" s="23">
        <v>0.10438</v>
      </c>
      <c r="E640" s="23">
        <v>0.17538000000000001</v>
      </c>
      <c r="F640" s="23">
        <v>0.23125000000000001</v>
      </c>
      <c r="G640" s="23">
        <v>0.26812999999999998</v>
      </c>
      <c r="H640" s="23">
        <v>0.34538000000000002</v>
      </c>
      <c r="I640" s="23">
        <v>0.48013</v>
      </c>
    </row>
    <row r="641" spans="1:9" s="21" customFormat="1" ht="20.100000000000001" customHeight="1" x14ac:dyDescent="0.2">
      <c r="A641" s="22">
        <v>44025</v>
      </c>
      <c r="B641" s="23" t="s">
        <v>53</v>
      </c>
      <c r="C641" s="23">
        <v>8.2000000000000003E-2</v>
      </c>
      <c r="D641" s="23">
        <v>0.11138000000000001</v>
      </c>
      <c r="E641" s="23">
        <v>0.17474999999999999</v>
      </c>
      <c r="F641" s="23">
        <v>0.24374999999999999</v>
      </c>
      <c r="G641" s="23">
        <v>0.27500000000000002</v>
      </c>
      <c r="H641" s="23">
        <v>0.33925</v>
      </c>
      <c r="I641" s="23">
        <v>0.48125000000000001</v>
      </c>
    </row>
    <row r="642" spans="1:9" s="21" customFormat="1" ht="20.100000000000001" customHeight="1" x14ac:dyDescent="0.2">
      <c r="A642" s="22">
        <v>44026</v>
      </c>
      <c r="B642" s="23" t="s">
        <v>49</v>
      </c>
      <c r="C642" s="23">
        <v>7.7499999999999999E-2</v>
      </c>
      <c r="D642" s="23">
        <v>0.11225</v>
      </c>
      <c r="E642" s="23">
        <v>0.17663000000000001</v>
      </c>
      <c r="F642" s="23">
        <v>0.22725000000000001</v>
      </c>
      <c r="G642" s="23">
        <v>0.27088000000000001</v>
      </c>
      <c r="H642" s="23">
        <v>0.34138000000000002</v>
      </c>
      <c r="I642" s="23">
        <v>0.48099999999999998</v>
      </c>
    </row>
    <row r="643" spans="1:9" s="21" customFormat="1" ht="20.100000000000001" customHeight="1" x14ac:dyDescent="0.2">
      <c r="A643" s="22">
        <v>44027</v>
      </c>
      <c r="B643" s="23" t="s">
        <v>50</v>
      </c>
      <c r="C643" s="23">
        <v>8.4250000000000005E-2</v>
      </c>
      <c r="D643" s="23">
        <v>0.11849999999999999</v>
      </c>
      <c r="E643" s="23">
        <v>0.18088000000000001</v>
      </c>
      <c r="F643" s="23">
        <v>0.23313</v>
      </c>
      <c r="G643" s="23">
        <v>0.27288000000000001</v>
      </c>
      <c r="H643" s="23">
        <v>0.33462999999999998</v>
      </c>
      <c r="I643" s="23">
        <v>0.47688000000000003</v>
      </c>
    </row>
    <row r="644" spans="1:9" s="21" customFormat="1" ht="20.100000000000001" customHeight="1" x14ac:dyDescent="0.2">
      <c r="A644" s="22">
        <v>44028</v>
      </c>
      <c r="B644" s="23" t="s">
        <v>51</v>
      </c>
      <c r="C644" s="23">
        <v>8.6749999999999994E-2</v>
      </c>
      <c r="D644" s="23">
        <v>0.11162999999999999</v>
      </c>
      <c r="E644" s="23">
        <v>0.18675</v>
      </c>
      <c r="F644" s="23">
        <v>0.22262999999999999</v>
      </c>
      <c r="G644" s="23">
        <v>0.27174999999999999</v>
      </c>
      <c r="H644" s="23">
        <v>0.34238000000000002</v>
      </c>
      <c r="I644" s="23">
        <v>0.47549999999999998</v>
      </c>
    </row>
    <row r="645" spans="1:9" s="21" customFormat="1" ht="20.100000000000001" customHeight="1" x14ac:dyDescent="0.2">
      <c r="A645" s="22">
        <v>44029</v>
      </c>
      <c r="B645" s="23" t="s">
        <v>52</v>
      </c>
      <c r="C645" s="23">
        <v>8.5629999999999998E-2</v>
      </c>
      <c r="D645" s="23">
        <v>0.114</v>
      </c>
      <c r="E645" s="23">
        <v>0.17988000000000001</v>
      </c>
      <c r="F645" s="23">
        <v>0.21737999999999999</v>
      </c>
      <c r="G645" s="23">
        <v>0.27138000000000001</v>
      </c>
      <c r="H645" s="23">
        <v>0.33362999999999998</v>
      </c>
      <c r="I645" s="23">
        <v>0.47</v>
      </c>
    </row>
    <row r="646" spans="1:9" s="21" customFormat="1" ht="20.100000000000001" customHeight="1" x14ac:dyDescent="0.2">
      <c r="A646" s="22">
        <v>44032</v>
      </c>
      <c r="B646" s="23" t="s">
        <v>53</v>
      </c>
      <c r="C646" s="23">
        <v>8.5500000000000007E-2</v>
      </c>
      <c r="D646" s="23">
        <v>0.11275</v>
      </c>
      <c r="E646" s="23">
        <v>0.17563000000000001</v>
      </c>
      <c r="F646" s="23">
        <v>0.215</v>
      </c>
      <c r="G646" s="23">
        <v>0.25774999999999998</v>
      </c>
      <c r="H646" s="23">
        <v>0.34275</v>
      </c>
      <c r="I646" s="23">
        <v>0.46850000000000003</v>
      </c>
    </row>
    <row r="647" spans="1:9" s="21" customFormat="1" ht="20.100000000000001" customHeight="1" x14ac:dyDescent="0.2">
      <c r="A647" s="22">
        <v>44033</v>
      </c>
      <c r="B647" s="23" t="s">
        <v>49</v>
      </c>
      <c r="C647" s="23">
        <v>8.5250000000000006E-2</v>
      </c>
      <c r="D647" s="23">
        <v>0.1125</v>
      </c>
      <c r="E647" s="23">
        <v>0.17574999999999999</v>
      </c>
      <c r="F647" s="23">
        <v>0.21512999999999999</v>
      </c>
      <c r="G647" s="23">
        <v>0.2555</v>
      </c>
      <c r="H647" s="23">
        <v>0.33988000000000002</v>
      </c>
      <c r="I647" s="23">
        <v>0.46438000000000001</v>
      </c>
    </row>
    <row r="648" spans="1:9" s="21" customFormat="1" ht="20.100000000000001" customHeight="1" x14ac:dyDescent="0.2">
      <c r="A648" s="22">
        <v>44034</v>
      </c>
      <c r="B648" s="23" t="s">
        <v>50</v>
      </c>
      <c r="C648" s="23">
        <v>8.5879999999999998E-2</v>
      </c>
      <c r="D648" s="23">
        <v>0.11963</v>
      </c>
      <c r="E648" s="23">
        <v>0.17899999999999999</v>
      </c>
      <c r="F648" s="23">
        <v>0.219</v>
      </c>
      <c r="G648" s="23">
        <v>0.26350000000000001</v>
      </c>
      <c r="H648" s="23">
        <v>0.32750000000000001</v>
      </c>
      <c r="I648" s="23">
        <v>0.46325</v>
      </c>
    </row>
    <row r="649" spans="1:9" s="21" customFormat="1" ht="20.100000000000001" customHeight="1" x14ac:dyDescent="0.2">
      <c r="A649" s="22">
        <v>44035</v>
      </c>
      <c r="B649" s="23" t="s">
        <v>51</v>
      </c>
      <c r="C649" s="23">
        <v>8.5629999999999998E-2</v>
      </c>
      <c r="D649" s="23">
        <v>0.11538</v>
      </c>
      <c r="E649" s="23">
        <v>0.17163</v>
      </c>
      <c r="F649" s="23">
        <v>0.22012999999999999</v>
      </c>
      <c r="G649" s="23">
        <v>0.2445</v>
      </c>
      <c r="H649" s="23">
        <v>0.32512999999999997</v>
      </c>
      <c r="I649" s="23">
        <v>0.46212999999999999</v>
      </c>
    </row>
    <row r="650" spans="1:9" s="21" customFormat="1" ht="20.100000000000001" customHeight="1" x14ac:dyDescent="0.2">
      <c r="A650" s="22">
        <v>44036</v>
      </c>
      <c r="B650" s="23" t="s">
        <v>52</v>
      </c>
      <c r="C650" s="23">
        <v>8.4879999999999997E-2</v>
      </c>
      <c r="D650" s="23">
        <v>0.11075</v>
      </c>
      <c r="E650" s="23">
        <v>0.17263000000000001</v>
      </c>
      <c r="F650" s="23">
        <v>0.21775</v>
      </c>
      <c r="G650" s="23">
        <v>0.24675</v>
      </c>
      <c r="H650" s="23">
        <v>0.31850000000000001</v>
      </c>
      <c r="I650" s="23">
        <v>0.45950000000000002</v>
      </c>
    </row>
    <row r="651" spans="1:9" s="21" customFormat="1" ht="20.100000000000001" customHeight="1" x14ac:dyDescent="0.2">
      <c r="A651" s="22">
        <v>44039</v>
      </c>
      <c r="B651" s="23" t="s">
        <v>53</v>
      </c>
      <c r="C651" s="23">
        <v>8.5129999999999997E-2</v>
      </c>
      <c r="D651" s="23">
        <v>0.1085</v>
      </c>
      <c r="E651" s="23">
        <v>0.16625000000000001</v>
      </c>
      <c r="F651" s="23">
        <v>0.21113000000000001</v>
      </c>
      <c r="G651" s="23">
        <v>0.26962999999999998</v>
      </c>
      <c r="H651" s="23">
        <v>0.31663000000000002</v>
      </c>
      <c r="I651" s="23">
        <v>0.45688000000000001</v>
      </c>
    </row>
    <row r="652" spans="1:9" s="21" customFormat="1" ht="20.100000000000001" customHeight="1" x14ac:dyDescent="0.2">
      <c r="A652" s="22">
        <v>44040</v>
      </c>
      <c r="B652" s="23" t="s">
        <v>49</v>
      </c>
      <c r="C652" s="23">
        <v>8.4750000000000006E-2</v>
      </c>
      <c r="D652" s="23">
        <v>0.11063000000000001</v>
      </c>
      <c r="E652" s="23">
        <v>0.16688</v>
      </c>
      <c r="F652" s="23">
        <v>0.21887999999999999</v>
      </c>
      <c r="G652" s="23">
        <v>0.26824999999999999</v>
      </c>
      <c r="H652" s="23">
        <v>0.3175</v>
      </c>
      <c r="I652" s="23">
        <v>0.46050000000000002</v>
      </c>
    </row>
    <row r="653" spans="1:9" s="21" customFormat="1" ht="20.100000000000001" customHeight="1" x14ac:dyDescent="0.2">
      <c r="A653" s="22">
        <v>44041</v>
      </c>
      <c r="B653" s="23" t="s">
        <v>50</v>
      </c>
      <c r="C653" s="23">
        <v>8.4129999999999996E-2</v>
      </c>
      <c r="D653" s="23">
        <v>0.1085</v>
      </c>
      <c r="E653" s="23">
        <v>0.16113</v>
      </c>
      <c r="F653" s="23">
        <v>0.2135</v>
      </c>
      <c r="G653" s="23">
        <v>0.26062999999999997</v>
      </c>
      <c r="H653" s="23">
        <v>0.3155</v>
      </c>
      <c r="I653" s="23">
        <v>0.46112999999999998</v>
      </c>
    </row>
    <row r="654" spans="1:9" s="21" customFormat="1" ht="20.100000000000001" customHeight="1" x14ac:dyDescent="0.2">
      <c r="A654" s="22">
        <v>44042</v>
      </c>
      <c r="B654" s="23" t="s">
        <v>51</v>
      </c>
      <c r="C654" s="23">
        <v>8.5000000000000006E-2</v>
      </c>
      <c r="D654" s="23">
        <v>0.10775</v>
      </c>
      <c r="E654" s="23">
        <v>0.15562999999999999</v>
      </c>
      <c r="F654" s="23">
        <v>0.20524999999999999</v>
      </c>
      <c r="G654" s="23">
        <v>0.251</v>
      </c>
      <c r="H654" s="23">
        <v>0.31487999999999999</v>
      </c>
      <c r="I654" s="23">
        <v>0.45650000000000002</v>
      </c>
    </row>
    <row r="655" spans="1:9" s="21" customFormat="1" ht="20.100000000000001" customHeight="1" x14ac:dyDescent="0.2">
      <c r="A655" s="22">
        <v>44043</v>
      </c>
      <c r="B655" s="23" t="s">
        <v>52</v>
      </c>
      <c r="C655" s="23">
        <v>8.7249999999999994E-2</v>
      </c>
      <c r="D655" s="23">
        <v>0.10675</v>
      </c>
      <c r="E655" s="23">
        <v>0.15487999999999999</v>
      </c>
      <c r="F655" s="23">
        <v>0.19613</v>
      </c>
      <c r="G655" s="23">
        <v>0.24875</v>
      </c>
      <c r="H655" s="23">
        <v>0.30613000000000001</v>
      </c>
      <c r="I655" s="23">
        <v>0.44862999999999997</v>
      </c>
    </row>
    <row r="656" spans="1:9" s="21" customFormat="1" ht="20.100000000000001" customHeight="1" x14ac:dyDescent="0.2">
      <c r="A656" s="22">
        <v>44046</v>
      </c>
      <c r="B656" s="23" t="s">
        <v>53</v>
      </c>
      <c r="C656" s="23">
        <v>8.4250000000000005E-2</v>
      </c>
      <c r="D656" s="23">
        <v>0.11237999999999999</v>
      </c>
      <c r="E656" s="23">
        <v>0.157</v>
      </c>
      <c r="F656" s="23">
        <v>0.20213</v>
      </c>
      <c r="G656" s="23">
        <v>0.249</v>
      </c>
      <c r="H656" s="23">
        <v>0.30349999999999999</v>
      </c>
      <c r="I656" s="23">
        <v>0.44674999999999998</v>
      </c>
    </row>
    <row r="657" spans="1:9" s="21" customFormat="1" ht="20.100000000000001" customHeight="1" x14ac:dyDescent="0.2">
      <c r="A657" s="22">
        <v>44047</v>
      </c>
      <c r="B657" s="23" t="s">
        <v>49</v>
      </c>
      <c r="C657" s="23">
        <v>8.8999999999999996E-2</v>
      </c>
      <c r="D657" s="23">
        <v>0.1095</v>
      </c>
      <c r="E657" s="23">
        <v>0.14924999999999999</v>
      </c>
      <c r="F657" s="23">
        <v>0.2205</v>
      </c>
      <c r="G657" s="23">
        <v>0.2485</v>
      </c>
      <c r="H657" s="23">
        <v>0.30549999999999999</v>
      </c>
      <c r="I657" s="23">
        <v>0.45088</v>
      </c>
    </row>
    <row r="658" spans="1:9" s="21" customFormat="1" ht="20.100000000000001" customHeight="1" x14ac:dyDescent="0.2">
      <c r="A658" s="22">
        <v>44048</v>
      </c>
      <c r="B658" s="23" t="s">
        <v>50</v>
      </c>
      <c r="C658" s="23">
        <v>8.3379999999999996E-2</v>
      </c>
      <c r="D658" s="23">
        <v>0.111</v>
      </c>
      <c r="E658" s="23">
        <v>0.1535</v>
      </c>
      <c r="F658" s="23">
        <v>0.223</v>
      </c>
      <c r="G658" s="23">
        <v>0.24199999999999999</v>
      </c>
      <c r="H658" s="23">
        <v>0.29837999999999998</v>
      </c>
      <c r="I658" s="23">
        <v>0.44350000000000001</v>
      </c>
    </row>
    <row r="659" spans="1:9" s="21" customFormat="1" ht="20.100000000000001" customHeight="1" x14ac:dyDescent="0.2">
      <c r="A659" s="22">
        <v>44049</v>
      </c>
      <c r="B659" s="23" t="s">
        <v>51</v>
      </c>
      <c r="C659" s="23">
        <v>8.5750000000000007E-2</v>
      </c>
      <c r="D659" s="23">
        <v>0.11125</v>
      </c>
      <c r="E659" s="23">
        <v>0.15537999999999999</v>
      </c>
      <c r="F659" s="23">
        <v>0.22813</v>
      </c>
      <c r="G659" s="23">
        <v>0.24324999999999999</v>
      </c>
      <c r="H659" s="23">
        <v>0.28913</v>
      </c>
      <c r="I659" s="23">
        <v>0.44638</v>
      </c>
    </row>
    <row r="660" spans="1:9" s="21" customFormat="1" ht="20.100000000000001" customHeight="1" x14ac:dyDescent="0.2">
      <c r="A660" s="22">
        <v>44050</v>
      </c>
      <c r="B660" s="23" t="s">
        <v>52</v>
      </c>
      <c r="C660" s="23">
        <v>8.5129999999999997E-2</v>
      </c>
      <c r="D660" s="23">
        <v>0.112</v>
      </c>
      <c r="E660" s="23">
        <v>0.16338</v>
      </c>
      <c r="F660" s="23">
        <v>0.22663</v>
      </c>
      <c r="G660" s="23">
        <v>0.2525</v>
      </c>
      <c r="H660" s="23">
        <v>0.30913000000000002</v>
      </c>
      <c r="I660" s="23">
        <v>0.44900000000000001</v>
      </c>
    </row>
    <row r="661" spans="1:9" s="21" customFormat="1" ht="20.100000000000001" customHeight="1" x14ac:dyDescent="0.2">
      <c r="A661" s="22">
        <v>44053</v>
      </c>
      <c r="B661" s="23" t="s">
        <v>53</v>
      </c>
      <c r="C661" s="23">
        <v>8.5999999999999993E-2</v>
      </c>
      <c r="D661" s="23">
        <v>0.10825</v>
      </c>
      <c r="E661" s="23">
        <v>0.16825000000000001</v>
      </c>
      <c r="F661" s="23">
        <v>0.21987999999999999</v>
      </c>
      <c r="G661" s="23">
        <v>0.25688</v>
      </c>
      <c r="H661" s="23">
        <v>0.33312999999999998</v>
      </c>
      <c r="I661" s="23">
        <v>0.45538000000000001</v>
      </c>
    </row>
    <row r="662" spans="1:9" s="21" customFormat="1" ht="20.100000000000001" customHeight="1" x14ac:dyDescent="0.2">
      <c r="A662" s="22">
        <v>44054</v>
      </c>
      <c r="B662" s="23" t="s">
        <v>49</v>
      </c>
      <c r="C662" s="23">
        <v>8.5250000000000006E-2</v>
      </c>
      <c r="D662" s="23">
        <v>0.11125</v>
      </c>
      <c r="E662" s="23">
        <v>0.16413</v>
      </c>
      <c r="F662" s="23">
        <v>0.22438</v>
      </c>
      <c r="G662" s="23">
        <v>0.2535</v>
      </c>
      <c r="H662" s="23">
        <v>0.33688000000000001</v>
      </c>
      <c r="I662" s="23">
        <v>0.45812999999999998</v>
      </c>
    </row>
    <row r="663" spans="1:9" s="21" customFormat="1" ht="20.100000000000001" customHeight="1" x14ac:dyDescent="0.2">
      <c r="A663" s="22">
        <v>44055</v>
      </c>
      <c r="B663" s="23" t="s">
        <v>50</v>
      </c>
      <c r="C663" s="23">
        <v>8.5379999999999998E-2</v>
      </c>
      <c r="D663" s="23">
        <v>0.11700000000000001</v>
      </c>
      <c r="E663" s="23">
        <v>0.158</v>
      </c>
      <c r="F663" s="23">
        <v>0.22212999999999999</v>
      </c>
      <c r="G663" s="23">
        <v>0.26474999999999999</v>
      </c>
      <c r="H663" s="23">
        <v>0.33674999999999999</v>
      </c>
      <c r="I663" s="23">
        <v>0.45788000000000001</v>
      </c>
    </row>
    <row r="664" spans="1:9" s="21" customFormat="1" ht="20.100000000000001" customHeight="1" x14ac:dyDescent="0.2">
      <c r="A664" s="22">
        <v>44056</v>
      </c>
      <c r="B664" s="23" t="s">
        <v>51</v>
      </c>
      <c r="C664" s="23">
        <v>8.4879999999999997E-2</v>
      </c>
      <c r="D664" s="23">
        <v>0.11688</v>
      </c>
      <c r="E664" s="23">
        <v>0.16188</v>
      </c>
      <c r="F664" s="23">
        <v>0.21124999999999999</v>
      </c>
      <c r="G664" s="23">
        <v>0.28012999999999999</v>
      </c>
      <c r="H664" s="23">
        <v>0.33838000000000001</v>
      </c>
      <c r="I664" s="23">
        <v>0.45850000000000002</v>
      </c>
    </row>
    <row r="665" spans="1:9" s="21" customFormat="1" ht="20.100000000000001" customHeight="1" x14ac:dyDescent="0.2">
      <c r="A665" s="22">
        <v>44057</v>
      </c>
      <c r="B665" s="23" t="s">
        <v>52</v>
      </c>
      <c r="C665" s="23">
        <v>8.5500000000000007E-2</v>
      </c>
      <c r="D665" s="23">
        <v>0.10963000000000001</v>
      </c>
      <c r="E665" s="23">
        <v>0.1515</v>
      </c>
      <c r="F665" s="23">
        <v>0.20674999999999999</v>
      </c>
      <c r="G665" s="23">
        <v>0.27038000000000001</v>
      </c>
      <c r="H665" s="23">
        <v>0.33250000000000002</v>
      </c>
      <c r="I665" s="23">
        <v>0.46088000000000001</v>
      </c>
    </row>
    <row r="666" spans="1:9" s="21" customFormat="1" ht="20.100000000000001" customHeight="1" x14ac:dyDescent="0.2">
      <c r="A666" s="22">
        <v>44060</v>
      </c>
      <c r="B666" s="23" t="s">
        <v>53</v>
      </c>
      <c r="C666" s="23">
        <v>8.4750000000000006E-2</v>
      </c>
      <c r="D666" s="23">
        <v>0.11538</v>
      </c>
      <c r="E666" s="23">
        <v>0.16138</v>
      </c>
      <c r="F666" s="23">
        <v>0.20888000000000001</v>
      </c>
      <c r="G666" s="23">
        <v>0.26774999999999999</v>
      </c>
      <c r="H666" s="23">
        <v>0.31963000000000003</v>
      </c>
      <c r="I666" s="23">
        <v>0.46038000000000001</v>
      </c>
    </row>
    <row r="667" spans="1:9" s="21" customFormat="1" ht="20.100000000000001" customHeight="1" x14ac:dyDescent="0.2">
      <c r="A667" s="22">
        <v>44061</v>
      </c>
      <c r="B667" s="23" t="s">
        <v>49</v>
      </c>
      <c r="C667" s="23">
        <v>8.3629999999999996E-2</v>
      </c>
      <c r="D667" s="23">
        <v>0.12163</v>
      </c>
      <c r="E667" s="23">
        <v>0.158</v>
      </c>
      <c r="F667" s="23">
        <v>0.20275000000000001</v>
      </c>
      <c r="G667" s="23">
        <v>0.253</v>
      </c>
      <c r="H667" s="23">
        <v>0.31524999999999997</v>
      </c>
      <c r="I667" s="23">
        <v>0.44713000000000003</v>
      </c>
    </row>
    <row r="668" spans="1:9" s="21" customFormat="1" ht="20.100000000000001" customHeight="1" x14ac:dyDescent="0.2">
      <c r="A668" s="22">
        <v>44062</v>
      </c>
      <c r="B668" s="23" t="s">
        <v>50</v>
      </c>
      <c r="C668" s="23">
        <v>8.4629999999999997E-2</v>
      </c>
      <c r="D668" s="23">
        <v>0.11488</v>
      </c>
      <c r="E668" s="23">
        <v>0.17088</v>
      </c>
      <c r="F668" s="23">
        <v>0.21224999999999999</v>
      </c>
      <c r="G668" s="23">
        <v>0.24687999999999999</v>
      </c>
      <c r="H668" s="23">
        <v>0.30449999999999999</v>
      </c>
      <c r="I668" s="23">
        <v>0.44488</v>
      </c>
    </row>
    <row r="669" spans="1:9" s="21" customFormat="1" ht="20.100000000000001" customHeight="1" x14ac:dyDescent="0.2">
      <c r="A669" s="22">
        <v>44063</v>
      </c>
      <c r="B669" s="23" t="s">
        <v>51</v>
      </c>
      <c r="C669" s="23">
        <v>8.3000000000000004E-2</v>
      </c>
      <c r="D669" s="23">
        <v>0.11237999999999999</v>
      </c>
      <c r="E669" s="23">
        <v>0.18325</v>
      </c>
      <c r="F669" s="23">
        <v>0.20488000000000001</v>
      </c>
      <c r="G669" s="23">
        <v>0.25613000000000002</v>
      </c>
      <c r="H669" s="23">
        <v>0.29863000000000001</v>
      </c>
      <c r="I669" s="23">
        <v>0.44063000000000002</v>
      </c>
    </row>
    <row r="670" spans="1:9" s="21" customFormat="1" ht="20.100000000000001" customHeight="1" x14ac:dyDescent="0.2">
      <c r="A670" s="22">
        <v>44064</v>
      </c>
      <c r="B670" s="23" t="s">
        <v>52</v>
      </c>
      <c r="C670" s="23">
        <v>8.1750000000000003E-2</v>
      </c>
      <c r="D670" s="23">
        <v>0.10663</v>
      </c>
      <c r="E670" s="23">
        <v>0.17513000000000001</v>
      </c>
      <c r="F670" s="23">
        <v>0.2135</v>
      </c>
      <c r="G670" s="23">
        <v>0.25</v>
      </c>
      <c r="H670" s="23">
        <v>0.31437999999999999</v>
      </c>
      <c r="I670" s="23">
        <v>0.441</v>
      </c>
    </row>
    <row r="671" spans="1:9" s="21" customFormat="1" ht="20.100000000000001" customHeight="1" x14ac:dyDescent="0.2">
      <c r="A671" s="22">
        <v>44067</v>
      </c>
      <c r="B671" s="23" t="s">
        <v>53</v>
      </c>
      <c r="C671" s="23">
        <v>8.1750000000000003E-2</v>
      </c>
      <c r="D671" s="23">
        <v>0.10488</v>
      </c>
      <c r="E671" s="23">
        <v>0.17424999999999999</v>
      </c>
      <c r="F671" s="23">
        <v>0.18837999999999999</v>
      </c>
      <c r="G671" s="23">
        <v>0.23375000000000001</v>
      </c>
      <c r="H671" s="23">
        <v>0.29737999999999998</v>
      </c>
      <c r="I671" s="23">
        <v>0.43913000000000002</v>
      </c>
    </row>
    <row r="672" spans="1:9" s="21" customFormat="1" ht="20.100000000000001" customHeight="1" x14ac:dyDescent="0.2">
      <c r="A672" s="22">
        <v>44068</v>
      </c>
      <c r="B672" s="23" t="s">
        <v>49</v>
      </c>
      <c r="C672" s="23">
        <v>8.1379999999999994E-2</v>
      </c>
      <c r="D672" s="23">
        <v>0.1125</v>
      </c>
      <c r="E672" s="23">
        <v>0.17025000000000001</v>
      </c>
      <c r="F672" s="23">
        <v>0.19037999999999999</v>
      </c>
      <c r="G672" s="23">
        <v>0.251</v>
      </c>
      <c r="H672" s="23">
        <v>0.30813000000000001</v>
      </c>
      <c r="I672" s="23">
        <v>0.44</v>
      </c>
    </row>
    <row r="673" spans="1:9" s="21" customFormat="1" ht="20.100000000000001" customHeight="1" x14ac:dyDescent="0.2">
      <c r="A673" s="22">
        <v>44069</v>
      </c>
      <c r="B673" s="23" t="s">
        <v>50</v>
      </c>
      <c r="C673" s="23">
        <v>8.1750000000000003E-2</v>
      </c>
      <c r="D673" s="23">
        <v>0.11362999999999999</v>
      </c>
      <c r="E673" s="23">
        <v>0.15637999999999999</v>
      </c>
      <c r="F673" s="23">
        <v>0.188</v>
      </c>
      <c r="G673" s="23">
        <v>0.25588</v>
      </c>
      <c r="H673" s="23">
        <v>0.30725000000000002</v>
      </c>
      <c r="I673" s="23">
        <v>0.44588</v>
      </c>
    </row>
    <row r="674" spans="1:9" s="21" customFormat="1" ht="20.100000000000001" customHeight="1" x14ac:dyDescent="0.2">
      <c r="A674" s="22">
        <v>44070</v>
      </c>
      <c r="B674" s="23" t="s">
        <v>51</v>
      </c>
      <c r="C674" s="23">
        <v>8.2000000000000003E-2</v>
      </c>
      <c r="D674" s="23">
        <v>0.1125</v>
      </c>
      <c r="E674" s="23">
        <v>0.15512999999999999</v>
      </c>
      <c r="F674" s="23">
        <v>0.1925</v>
      </c>
      <c r="G674" s="23">
        <v>0.246</v>
      </c>
      <c r="H674" s="23">
        <v>0.30775000000000002</v>
      </c>
      <c r="I674" s="23">
        <v>0.44238</v>
      </c>
    </row>
    <row r="675" spans="1:9" s="21" customFormat="1" ht="20.100000000000001" customHeight="1" x14ac:dyDescent="0.2">
      <c r="A675" s="22">
        <v>44071</v>
      </c>
      <c r="B675" s="23" t="s">
        <v>52</v>
      </c>
      <c r="C675" s="23">
        <v>8.0879999999999994E-2</v>
      </c>
      <c r="D675" s="23">
        <v>0.10825</v>
      </c>
      <c r="E675" s="23">
        <v>0.15675</v>
      </c>
      <c r="F675" s="23">
        <v>0.18562999999999999</v>
      </c>
      <c r="G675" s="23">
        <v>0.24088000000000001</v>
      </c>
      <c r="H675" s="23">
        <v>0.30987999999999999</v>
      </c>
      <c r="I675" s="23">
        <v>0.44524999999999998</v>
      </c>
    </row>
    <row r="676" spans="1:9" s="21" customFormat="1" ht="20.100000000000001" customHeight="1" x14ac:dyDescent="0.2">
      <c r="A676" s="22">
        <v>44075</v>
      </c>
      <c r="B676" s="23" t="s">
        <v>49</v>
      </c>
      <c r="C676" s="23">
        <v>8.1250000000000003E-2</v>
      </c>
      <c r="D676" s="23">
        <v>0.10675</v>
      </c>
      <c r="E676" s="23">
        <v>0.15562999999999999</v>
      </c>
      <c r="F676" s="23">
        <v>0.20263</v>
      </c>
      <c r="G676" s="23">
        <v>0.25113000000000002</v>
      </c>
      <c r="H676" s="23">
        <v>0.30325000000000002</v>
      </c>
      <c r="I676" s="23">
        <v>0.43263000000000001</v>
      </c>
    </row>
    <row r="677" spans="1:9" s="21" customFormat="1" ht="20.100000000000001" customHeight="1" x14ac:dyDescent="0.2">
      <c r="A677" s="22">
        <v>44076</v>
      </c>
      <c r="B677" s="23" t="s">
        <v>50</v>
      </c>
      <c r="C677" s="23">
        <v>8.2500000000000004E-2</v>
      </c>
      <c r="D677" s="23">
        <v>0.10313</v>
      </c>
      <c r="E677" s="23">
        <v>0.15475</v>
      </c>
      <c r="F677" s="23">
        <v>0.19938</v>
      </c>
      <c r="G677" s="23">
        <v>0.25124999999999997</v>
      </c>
      <c r="H677" s="23">
        <v>0.28775000000000001</v>
      </c>
      <c r="I677" s="23">
        <v>0.42499999999999999</v>
      </c>
    </row>
    <row r="678" spans="1:9" s="21" customFormat="1" ht="20.100000000000001" customHeight="1" x14ac:dyDescent="0.2">
      <c r="A678" s="22">
        <v>44077</v>
      </c>
      <c r="B678" s="23" t="s">
        <v>51</v>
      </c>
      <c r="C678" s="23">
        <v>8.2379999999999995E-2</v>
      </c>
      <c r="D678" s="23">
        <v>0.10249999999999999</v>
      </c>
      <c r="E678" s="23">
        <v>0.15862999999999999</v>
      </c>
      <c r="F678" s="23">
        <v>0.19563</v>
      </c>
      <c r="G678" s="23">
        <v>0.2495</v>
      </c>
      <c r="H678" s="23">
        <v>0.28725000000000001</v>
      </c>
      <c r="I678" s="23">
        <v>0.42625000000000002</v>
      </c>
    </row>
    <row r="679" spans="1:9" s="21" customFormat="1" ht="20.100000000000001" customHeight="1" x14ac:dyDescent="0.2">
      <c r="A679" s="22">
        <v>44078</v>
      </c>
      <c r="B679" s="23" t="s">
        <v>52</v>
      </c>
      <c r="C679" s="23">
        <v>8.1629999999999994E-2</v>
      </c>
      <c r="D679" s="23">
        <v>0.1095</v>
      </c>
      <c r="E679" s="23">
        <v>0.15425</v>
      </c>
      <c r="F679" s="23">
        <v>0.18487999999999999</v>
      </c>
      <c r="G679" s="23">
        <v>0.248</v>
      </c>
      <c r="H679" s="23">
        <v>0.29213</v>
      </c>
      <c r="I679" s="23">
        <v>0.42099999999999999</v>
      </c>
    </row>
    <row r="680" spans="1:9" s="21" customFormat="1" ht="20.100000000000001" customHeight="1" x14ac:dyDescent="0.2">
      <c r="A680" s="22">
        <v>44081</v>
      </c>
      <c r="B680" s="23" t="s">
        <v>53</v>
      </c>
      <c r="C680" s="23"/>
      <c r="D680" s="23">
        <v>0.10675</v>
      </c>
      <c r="E680" s="23">
        <v>0.15562999999999999</v>
      </c>
      <c r="F680" s="23">
        <v>0.18325</v>
      </c>
      <c r="G680" s="23">
        <v>0.24174999999999999</v>
      </c>
      <c r="H680" s="23">
        <v>0.29325000000000001</v>
      </c>
      <c r="I680" s="23">
        <v>0.42099999999999999</v>
      </c>
    </row>
    <row r="681" spans="1:9" s="21" customFormat="1" ht="20.100000000000001" customHeight="1" x14ac:dyDescent="0.2">
      <c r="A681" s="22">
        <v>44082</v>
      </c>
      <c r="B681" s="23" t="s">
        <v>49</v>
      </c>
      <c r="C681" s="23">
        <v>7.9380000000000006E-2</v>
      </c>
      <c r="D681" s="23">
        <v>0.10875</v>
      </c>
      <c r="E681" s="23">
        <v>0.1555</v>
      </c>
      <c r="F681" s="23">
        <v>0.20413000000000001</v>
      </c>
      <c r="G681" s="23">
        <v>0.2495</v>
      </c>
      <c r="H681" s="23">
        <v>0.30099999999999999</v>
      </c>
      <c r="I681" s="23">
        <v>0.42699999999999999</v>
      </c>
    </row>
    <row r="682" spans="1:9" s="21" customFormat="1" ht="20.100000000000001" customHeight="1" x14ac:dyDescent="0.2">
      <c r="A682" s="22">
        <v>44083</v>
      </c>
      <c r="B682" s="23" t="s">
        <v>50</v>
      </c>
      <c r="C682" s="23">
        <v>8.2129999999999995E-2</v>
      </c>
      <c r="D682" s="23">
        <v>0.1125</v>
      </c>
      <c r="E682" s="23">
        <v>0.15125</v>
      </c>
      <c r="F682" s="23">
        <v>0.20449999999999999</v>
      </c>
      <c r="G682" s="23">
        <v>0.25024999999999997</v>
      </c>
      <c r="H682" s="23">
        <v>0.28525</v>
      </c>
      <c r="I682" s="23">
        <v>0.41475000000000001</v>
      </c>
    </row>
    <row r="683" spans="1:9" s="21" customFormat="1" ht="20.100000000000001" customHeight="1" x14ac:dyDescent="0.2">
      <c r="A683" s="22">
        <v>44084</v>
      </c>
      <c r="B683" s="23" t="s">
        <v>51</v>
      </c>
      <c r="C683" s="23">
        <v>8.4129999999999996E-2</v>
      </c>
      <c r="D683" s="23">
        <v>0.10825</v>
      </c>
      <c r="E683" s="23">
        <v>0.15112999999999999</v>
      </c>
      <c r="F683" s="23">
        <v>0.19763</v>
      </c>
      <c r="G683" s="23">
        <v>0.24912999999999999</v>
      </c>
      <c r="H683" s="23">
        <v>0.28488000000000002</v>
      </c>
      <c r="I683" s="23">
        <v>0.41413</v>
      </c>
    </row>
    <row r="684" spans="1:9" s="21" customFormat="1" ht="20.100000000000001" customHeight="1" x14ac:dyDescent="0.2">
      <c r="A684" s="22">
        <v>44085</v>
      </c>
      <c r="B684" s="23" t="s">
        <v>52</v>
      </c>
      <c r="C684" s="23">
        <v>8.3000000000000004E-2</v>
      </c>
      <c r="D684" s="23">
        <v>0.10324999999999999</v>
      </c>
      <c r="E684" s="23">
        <v>0.15237999999999999</v>
      </c>
      <c r="F684" s="23">
        <v>0.19788</v>
      </c>
      <c r="G684" s="23">
        <v>0.25037999999999999</v>
      </c>
      <c r="H684" s="23">
        <v>0.28188000000000002</v>
      </c>
      <c r="I684" s="23">
        <v>0.41388000000000003</v>
      </c>
    </row>
    <row r="685" spans="1:9" s="21" customFormat="1" ht="20.100000000000001" customHeight="1" x14ac:dyDescent="0.2">
      <c r="A685" s="22">
        <v>44088</v>
      </c>
      <c r="B685" s="23" t="s">
        <v>53</v>
      </c>
      <c r="C685" s="23">
        <v>8.3879999999999996E-2</v>
      </c>
      <c r="D685" s="23">
        <v>0.10688</v>
      </c>
      <c r="E685" s="23">
        <v>0.15212999999999999</v>
      </c>
      <c r="F685" s="23">
        <v>0.20025000000000001</v>
      </c>
      <c r="G685" s="23">
        <v>0.23724999999999999</v>
      </c>
      <c r="H685" s="23">
        <v>0.27450000000000002</v>
      </c>
      <c r="I685" s="23">
        <v>0.40262999999999999</v>
      </c>
    </row>
    <row r="686" spans="1:9" s="21" customFormat="1" ht="20.100000000000001" customHeight="1" x14ac:dyDescent="0.2">
      <c r="A686" s="22">
        <v>44089</v>
      </c>
      <c r="B686" s="23" t="s">
        <v>49</v>
      </c>
      <c r="C686" s="23">
        <v>8.3250000000000005E-2</v>
      </c>
      <c r="D686" s="23">
        <v>0.106</v>
      </c>
      <c r="E686" s="23">
        <v>0.15049999999999999</v>
      </c>
      <c r="F686" s="23">
        <v>0.19625000000000001</v>
      </c>
      <c r="G686" s="23">
        <v>0.24612999999999999</v>
      </c>
      <c r="H686" s="23">
        <v>0.27324999999999999</v>
      </c>
      <c r="I686" s="23">
        <v>0.38574999999999998</v>
      </c>
    </row>
    <row r="687" spans="1:9" s="21" customFormat="1" ht="20.100000000000001" customHeight="1" x14ac:dyDescent="0.2">
      <c r="A687" s="22">
        <v>44090</v>
      </c>
      <c r="B687" s="23" t="s">
        <v>50</v>
      </c>
      <c r="C687" s="23">
        <v>8.2500000000000004E-2</v>
      </c>
      <c r="D687" s="23">
        <v>0.10263</v>
      </c>
      <c r="E687" s="23">
        <v>0.15</v>
      </c>
      <c r="F687" s="23">
        <v>0.19162999999999999</v>
      </c>
      <c r="G687" s="23">
        <v>0.23325000000000001</v>
      </c>
      <c r="H687" s="23">
        <v>0.27038000000000001</v>
      </c>
      <c r="I687" s="23">
        <v>0.378</v>
      </c>
    </row>
    <row r="688" spans="1:9" s="21" customFormat="1" ht="20.100000000000001" customHeight="1" x14ac:dyDescent="0.2">
      <c r="A688" s="22">
        <v>44091</v>
      </c>
      <c r="B688" s="23" t="s">
        <v>51</v>
      </c>
      <c r="C688" s="23">
        <v>8.2250000000000004E-2</v>
      </c>
      <c r="D688" s="23">
        <v>0.10349999999999999</v>
      </c>
      <c r="E688" s="23">
        <v>0.15625</v>
      </c>
      <c r="F688" s="23">
        <v>0.18912999999999999</v>
      </c>
      <c r="G688" s="23">
        <v>0.22738</v>
      </c>
      <c r="H688" s="23">
        <v>0.27562999999999999</v>
      </c>
      <c r="I688" s="23">
        <v>0.37624999999999997</v>
      </c>
    </row>
    <row r="689" spans="1:9" s="21" customFormat="1" ht="20.100000000000001" customHeight="1" x14ac:dyDescent="0.2">
      <c r="A689" s="22">
        <v>44092</v>
      </c>
      <c r="B689" s="23" t="s">
        <v>52</v>
      </c>
      <c r="C689" s="23">
        <v>8.3129999999999996E-2</v>
      </c>
      <c r="D689" s="23">
        <v>0.10025000000000001</v>
      </c>
      <c r="E689" s="23">
        <v>0.15575</v>
      </c>
      <c r="F689" s="23">
        <v>0.18687999999999999</v>
      </c>
      <c r="G689" s="23">
        <v>0.22538</v>
      </c>
      <c r="H689" s="23">
        <v>0.27524999999999999</v>
      </c>
      <c r="I689" s="23">
        <v>0.37387999999999999</v>
      </c>
    </row>
    <row r="690" spans="1:9" s="21" customFormat="1" ht="20.100000000000001" customHeight="1" x14ac:dyDescent="0.2">
      <c r="A690" s="22">
        <v>44095</v>
      </c>
      <c r="B690" s="23" t="s">
        <v>53</v>
      </c>
      <c r="C690" s="23">
        <v>8.2500000000000004E-2</v>
      </c>
      <c r="D690" s="23">
        <v>0.11088000000000001</v>
      </c>
      <c r="E690" s="23">
        <v>0.15187999999999999</v>
      </c>
      <c r="F690" s="23">
        <v>0.17799999999999999</v>
      </c>
      <c r="G690" s="23">
        <v>0.22325</v>
      </c>
      <c r="H690" s="23">
        <v>0.27288000000000001</v>
      </c>
      <c r="I690" s="23">
        <v>0.3785</v>
      </c>
    </row>
    <row r="691" spans="1:9" s="21" customFormat="1" ht="20.100000000000001" customHeight="1" x14ac:dyDescent="0.2">
      <c r="A691" s="22">
        <v>44096</v>
      </c>
      <c r="B691" s="23" t="s">
        <v>49</v>
      </c>
      <c r="C691" s="23">
        <v>8.2629999999999995E-2</v>
      </c>
      <c r="D691" s="23">
        <v>9.9629999999999996E-2</v>
      </c>
      <c r="E691" s="23">
        <v>0.15112999999999999</v>
      </c>
      <c r="F691" s="23">
        <v>0.18612999999999999</v>
      </c>
      <c r="G691" s="23">
        <v>0.2225</v>
      </c>
      <c r="H691" s="23">
        <v>0.27474999999999999</v>
      </c>
      <c r="I691" s="23">
        <v>0.3765</v>
      </c>
    </row>
    <row r="692" spans="1:9" s="21" customFormat="1" ht="20.100000000000001" customHeight="1" x14ac:dyDescent="0.2">
      <c r="A692" s="22">
        <v>44097</v>
      </c>
      <c r="B692" s="23" t="s">
        <v>50</v>
      </c>
      <c r="C692" s="23">
        <v>8.0379999999999993E-2</v>
      </c>
      <c r="D692" s="23">
        <v>0.10238</v>
      </c>
      <c r="E692" s="23">
        <v>0.14813000000000001</v>
      </c>
      <c r="F692" s="23">
        <v>0.17988000000000001</v>
      </c>
      <c r="G692" s="23">
        <v>0.22500000000000001</v>
      </c>
      <c r="H692" s="23">
        <v>0.27162999999999998</v>
      </c>
      <c r="I692" s="23">
        <v>0.37175000000000002</v>
      </c>
    </row>
    <row r="693" spans="1:9" s="21" customFormat="1" ht="20.100000000000001" customHeight="1" x14ac:dyDescent="0.2">
      <c r="A693" s="22">
        <v>44098</v>
      </c>
      <c r="B693" s="23" t="s">
        <v>51</v>
      </c>
      <c r="C693" s="23">
        <v>8.0750000000000002E-2</v>
      </c>
      <c r="D693" s="23">
        <v>0.10563</v>
      </c>
      <c r="E693" s="23">
        <v>0.14474999999999999</v>
      </c>
      <c r="F693" s="23">
        <v>0.1865</v>
      </c>
      <c r="G693" s="23">
        <v>0.23325000000000001</v>
      </c>
      <c r="H693" s="23">
        <v>0.27350000000000002</v>
      </c>
      <c r="I693" s="23">
        <v>0.37213000000000002</v>
      </c>
    </row>
    <row r="694" spans="1:9" s="21" customFormat="1" ht="20.100000000000001" customHeight="1" x14ac:dyDescent="0.2">
      <c r="A694" s="22">
        <v>44099</v>
      </c>
      <c r="B694" s="23" t="s">
        <v>52</v>
      </c>
      <c r="C694" s="23">
        <v>8.0130000000000007E-2</v>
      </c>
      <c r="D694" s="23">
        <v>0.10025000000000001</v>
      </c>
      <c r="E694" s="23">
        <v>0.14613000000000001</v>
      </c>
      <c r="F694" s="23">
        <v>0.18437999999999999</v>
      </c>
      <c r="G694" s="23">
        <v>0.21787999999999999</v>
      </c>
      <c r="H694" s="23">
        <v>0.27124999999999999</v>
      </c>
      <c r="I694" s="23">
        <v>0.36925000000000002</v>
      </c>
    </row>
    <row r="695" spans="1:9" s="21" customFormat="1" ht="20.100000000000001" customHeight="1" x14ac:dyDescent="0.2">
      <c r="A695" s="22">
        <v>44102</v>
      </c>
      <c r="B695" s="23" t="s">
        <v>53</v>
      </c>
      <c r="C695" s="23">
        <v>8.1629999999999994E-2</v>
      </c>
      <c r="D695" s="23">
        <v>0.106</v>
      </c>
      <c r="E695" s="23">
        <v>0.14663000000000001</v>
      </c>
      <c r="F695" s="23">
        <v>0.1885</v>
      </c>
      <c r="G695" s="23">
        <v>0.22037999999999999</v>
      </c>
      <c r="H695" s="23">
        <v>0.26924999999999999</v>
      </c>
      <c r="I695" s="23">
        <v>0.36549999999999999</v>
      </c>
    </row>
    <row r="696" spans="1:9" s="21" customFormat="1" ht="20.100000000000001" customHeight="1" x14ac:dyDescent="0.2">
      <c r="A696" s="22">
        <v>44103</v>
      </c>
      <c r="B696" s="23" t="s">
        <v>49</v>
      </c>
      <c r="C696" s="23">
        <v>8.1750000000000003E-2</v>
      </c>
      <c r="D696" s="23">
        <v>0.10388</v>
      </c>
      <c r="E696" s="23">
        <v>0.14899999999999999</v>
      </c>
      <c r="F696" s="23">
        <v>0.19062999999999999</v>
      </c>
      <c r="G696" s="23">
        <v>0.22513</v>
      </c>
      <c r="H696" s="23">
        <v>0.26512999999999998</v>
      </c>
      <c r="I696" s="23">
        <v>0.35925000000000001</v>
      </c>
    </row>
    <row r="697" spans="1:9" s="21" customFormat="1" ht="20.100000000000001" customHeight="1" x14ac:dyDescent="0.2">
      <c r="A697" s="22">
        <v>44104</v>
      </c>
      <c r="B697" s="23" t="s">
        <v>50</v>
      </c>
      <c r="C697" s="23">
        <v>7.8E-2</v>
      </c>
      <c r="D697" s="23">
        <v>9.6500000000000002E-2</v>
      </c>
      <c r="E697" s="23">
        <v>0.14824999999999999</v>
      </c>
      <c r="F697" s="23">
        <v>0.19388</v>
      </c>
      <c r="G697" s="23">
        <v>0.23388</v>
      </c>
      <c r="H697" s="23">
        <v>0.25974999999999998</v>
      </c>
      <c r="I697" s="23">
        <v>0.36013000000000001</v>
      </c>
    </row>
    <row r="698" spans="1:9" s="21" customFormat="1" ht="20.100000000000001" customHeight="1" x14ac:dyDescent="0.2">
      <c r="A698" s="22">
        <v>44105</v>
      </c>
      <c r="B698" s="23" t="s">
        <v>51</v>
      </c>
      <c r="C698" s="23">
        <v>8.1750000000000003E-2</v>
      </c>
      <c r="D698" s="23">
        <v>9.6000000000000002E-2</v>
      </c>
      <c r="E698" s="23">
        <v>0.13950000000000001</v>
      </c>
      <c r="F698" s="23">
        <v>0.19225</v>
      </c>
      <c r="G698" s="23">
        <v>0.23400000000000001</v>
      </c>
      <c r="H698" s="23">
        <v>0.2505</v>
      </c>
      <c r="I698" s="23">
        <v>0.35987999999999998</v>
      </c>
    </row>
    <row r="699" spans="1:9" s="21" customFormat="1" ht="20.100000000000001" customHeight="1" x14ac:dyDescent="0.2">
      <c r="A699" s="22">
        <v>44106</v>
      </c>
      <c r="B699" s="23" t="s">
        <v>52</v>
      </c>
      <c r="C699" s="23">
        <v>8.1250000000000003E-2</v>
      </c>
      <c r="D699" s="23">
        <v>9.2749999999999999E-2</v>
      </c>
      <c r="E699" s="23">
        <v>0.14000000000000001</v>
      </c>
      <c r="F699" s="23">
        <v>0.18038000000000001</v>
      </c>
      <c r="G699" s="23">
        <v>0.23350000000000001</v>
      </c>
      <c r="H699" s="23">
        <v>0.24475</v>
      </c>
      <c r="I699" s="23">
        <v>0.35749999999999998</v>
      </c>
    </row>
    <row r="700" spans="1:9" s="21" customFormat="1" ht="20.100000000000001" customHeight="1" x14ac:dyDescent="0.2">
      <c r="A700" s="22">
        <v>44109</v>
      </c>
      <c r="B700" s="23" t="s">
        <v>53</v>
      </c>
      <c r="C700" s="23">
        <v>8.1379999999999994E-2</v>
      </c>
      <c r="D700" s="23">
        <v>9.6629999999999994E-2</v>
      </c>
      <c r="E700" s="23">
        <v>0.14274999999999999</v>
      </c>
      <c r="F700" s="23">
        <v>0.17263000000000001</v>
      </c>
      <c r="G700" s="23">
        <v>0.22025</v>
      </c>
      <c r="H700" s="23">
        <v>0.23375000000000001</v>
      </c>
      <c r="I700" s="23">
        <v>0.34875</v>
      </c>
    </row>
    <row r="701" spans="1:9" s="21" customFormat="1" ht="20.100000000000001" customHeight="1" x14ac:dyDescent="0.2">
      <c r="A701" s="22">
        <v>44110</v>
      </c>
      <c r="B701" s="23" t="s">
        <v>49</v>
      </c>
      <c r="C701" s="23">
        <v>8.1500000000000003E-2</v>
      </c>
      <c r="D701" s="23">
        <v>9.9379999999999996E-2</v>
      </c>
      <c r="E701" s="23">
        <v>0.13963</v>
      </c>
      <c r="F701" s="23">
        <v>0.16975000000000001</v>
      </c>
      <c r="G701" s="23">
        <v>0.22975000000000001</v>
      </c>
      <c r="H701" s="23">
        <v>0.23924999999999999</v>
      </c>
      <c r="I701" s="23">
        <v>0.34388000000000002</v>
      </c>
    </row>
    <row r="702" spans="1:9" s="21" customFormat="1" ht="20.100000000000001" customHeight="1" x14ac:dyDescent="0.2">
      <c r="A702" s="22">
        <v>44111</v>
      </c>
      <c r="B702" s="23" t="s">
        <v>50</v>
      </c>
      <c r="C702" s="23">
        <v>8.1750000000000003E-2</v>
      </c>
      <c r="D702" s="23">
        <v>9.9250000000000005E-2</v>
      </c>
      <c r="E702" s="23">
        <v>0.14699999999999999</v>
      </c>
      <c r="F702" s="23">
        <v>0.16888</v>
      </c>
      <c r="G702" s="23">
        <v>0.22950000000000001</v>
      </c>
      <c r="H702" s="23">
        <v>0.25013000000000002</v>
      </c>
      <c r="I702" s="23">
        <v>0.34788000000000002</v>
      </c>
    </row>
    <row r="703" spans="1:9" s="21" customFormat="1" ht="20.100000000000001" customHeight="1" x14ac:dyDescent="0.2">
      <c r="A703" s="22">
        <v>44112</v>
      </c>
      <c r="B703" s="23" t="s">
        <v>51</v>
      </c>
      <c r="C703" s="23">
        <v>8.2629999999999995E-2</v>
      </c>
      <c r="D703" s="23">
        <v>9.5750000000000002E-2</v>
      </c>
      <c r="E703" s="23">
        <v>0.14688000000000001</v>
      </c>
      <c r="F703" s="23">
        <v>0.17988000000000001</v>
      </c>
      <c r="G703" s="23">
        <v>0.2205</v>
      </c>
      <c r="H703" s="23">
        <v>0.24637999999999999</v>
      </c>
      <c r="I703" s="23">
        <v>0.34949999999999998</v>
      </c>
    </row>
    <row r="704" spans="1:9" s="21" customFormat="1" ht="20.100000000000001" customHeight="1" x14ac:dyDescent="0.2">
      <c r="A704" s="22">
        <v>44113</v>
      </c>
      <c r="B704" s="23" t="s">
        <v>52</v>
      </c>
      <c r="C704" s="23">
        <v>8.1750000000000003E-2</v>
      </c>
      <c r="D704" s="23">
        <v>9.4880000000000006E-2</v>
      </c>
      <c r="E704" s="23">
        <v>0.14524999999999999</v>
      </c>
      <c r="F704" s="23">
        <v>0.17763000000000001</v>
      </c>
      <c r="G704" s="23">
        <v>0.22413</v>
      </c>
      <c r="H704" s="23">
        <v>0.24575</v>
      </c>
      <c r="I704" s="23">
        <v>0.34762999999999999</v>
      </c>
    </row>
    <row r="705" spans="1:9" s="21" customFormat="1" ht="20.100000000000001" customHeight="1" x14ac:dyDescent="0.2">
      <c r="A705" s="22">
        <v>44116</v>
      </c>
      <c r="B705" s="23" t="s">
        <v>53</v>
      </c>
      <c r="C705" s="23"/>
      <c r="D705" s="23">
        <v>9.6879999999999994E-2</v>
      </c>
      <c r="E705" s="23">
        <v>0.14424999999999999</v>
      </c>
      <c r="F705" s="23">
        <v>0.18512999999999999</v>
      </c>
      <c r="G705" s="23">
        <v>0.22888</v>
      </c>
      <c r="H705" s="23">
        <v>0.24288000000000001</v>
      </c>
      <c r="I705" s="23">
        <v>0.34762999999999999</v>
      </c>
    </row>
    <row r="706" spans="1:9" s="21" customFormat="1" ht="20.100000000000001" customHeight="1" x14ac:dyDescent="0.2">
      <c r="A706" s="22">
        <v>44117</v>
      </c>
      <c r="B706" s="23" t="s">
        <v>49</v>
      </c>
      <c r="C706" s="23">
        <v>0.08</v>
      </c>
      <c r="D706" s="23">
        <v>9.6500000000000002E-2</v>
      </c>
      <c r="E706" s="23">
        <v>0.14838000000000001</v>
      </c>
      <c r="F706" s="23">
        <v>0.18088000000000001</v>
      </c>
      <c r="G706" s="23">
        <v>0.23688000000000001</v>
      </c>
      <c r="H706" s="23">
        <v>0.2545</v>
      </c>
      <c r="I706" s="23">
        <v>0.34549999999999997</v>
      </c>
    </row>
    <row r="707" spans="1:9" s="21" customFormat="1" ht="20.100000000000001" customHeight="1" x14ac:dyDescent="0.2">
      <c r="A707" s="22">
        <v>44118</v>
      </c>
      <c r="B707" s="23" t="s">
        <v>50</v>
      </c>
      <c r="C707" s="23">
        <v>8.0879999999999994E-2</v>
      </c>
      <c r="D707" s="23">
        <v>9.9879999999999997E-2</v>
      </c>
      <c r="E707" s="23">
        <v>0.14574999999999999</v>
      </c>
      <c r="F707" s="23">
        <v>0.18662999999999999</v>
      </c>
      <c r="G707" s="23">
        <v>0.23013</v>
      </c>
      <c r="H707" s="23">
        <v>0.25324999999999998</v>
      </c>
      <c r="I707" s="23">
        <v>0.34399999999999997</v>
      </c>
    </row>
    <row r="708" spans="1:9" s="21" customFormat="1" ht="20.100000000000001" customHeight="1" x14ac:dyDescent="0.2">
      <c r="A708" s="22">
        <v>44119</v>
      </c>
      <c r="B708" s="23" t="s">
        <v>51</v>
      </c>
      <c r="C708" s="23">
        <v>8.1250000000000003E-2</v>
      </c>
      <c r="D708" s="23">
        <v>0.10150000000000001</v>
      </c>
      <c r="E708" s="23">
        <v>0.14724999999999999</v>
      </c>
      <c r="F708" s="23">
        <v>0.1855</v>
      </c>
      <c r="G708" s="23">
        <v>0.21775</v>
      </c>
      <c r="H708" s="23">
        <v>0.25324999999999998</v>
      </c>
      <c r="I708" s="23">
        <v>0.34775</v>
      </c>
    </row>
    <row r="709" spans="1:9" s="21" customFormat="1" ht="20.100000000000001" customHeight="1" x14ac:dyDescent="0.2">
      <c r="A709" s="22">
        <v>44120</v>
      </c>
      <c r="B709" s="23" t="s">
        <v>52</v>
      </c>
      <c r="C709" s="23">
        <v>8.1129999999999994E-2</v>
      </c>
      <c r="D709" s="23">
        <v>0.10075000000000001</v>
      </c>
      <c r="E709" s="23">
        <v>0.15137999999999999</v>
      </c>
      <c r="F709" s="23">
        <v>0.17788000000000001</v>
      </c>
      <c r="G709" s="23">
        <v>0.21837999999999999</v>
      </c>
      <c r="H709" s="23">
        <v>0.25750000000000001</v>
      </c>
      <c r="I709" s="23">
        <v>0.33500000000000002</v>
      </c>
    </row>
    <row r="710" spans="1:9" s="21" customFormat="1" ht="20.100000000000001" customHeight="1" x14ac:dyDescent="0.2">
      <c r="A710" s="22">
        <v>44123</v>
      </c>
      <c r="B710" s="23" t="s">
        <v>53</v>
      </c>
      <c r="C710" s="23">
        <v>8.0879999999999994E-2</v>
      </c>
      <c r="D710" s="23">
        <v>0.10663</v>
      </c>
      <c r="E710" s="23">
        <v>0.14338000000000001</v>
      </c>
      <c r="F710" s="23">
        <v>0.17513000000000001</v>
      </c>
      <c r="G710" s="23">
        <v>0.20863000000000001</v>
      </c>
      <c r="H710" s="23">
        <v>0.25424999999999998</v>
      </c>
      <c r="I710" s="23">
        <v>0.33975</v>
      </c>
    </row>
    <row r="711" spans="1:9" s="21" customFormat="1" ht="20.100000000000001" customHeight="1" x14ac:dyDescent="0.2">
      <c r="A711" s="22">
        <v>44124</v>
      </c>
      <c r="B711" s="23" t="s">
        <v>49</v>
      </c>
      <c r="C711" s="23">
        <v>8.0379999999999993E-2</v>
      </c>
      <c r="D711" s="23">
        <v>0.10349999999999999</v>
      </c>
      <c r="E711" s="23">
        <v>0.14574999999999999</v>
      </c>
      <c r="F711" s="23">
        <v>0.18887999999999999</v>
      </c>
      <c r="G711" s="23">
        <v>0.21575</v>
      </c>
      <c r="H711" s="23">
        <v>0.25187999999999999</v>
      </c>
      <c r="I711" s="23">
        <v>0.33712999999999999</v>
      </c>
    </row>
    <row r="712" spans="1:9" s="21" customFormat="1" ht="20.100000000000001" customHeight="1" x14ac:dyDescent="0.2">
      <c r="A712" s="22">
        <v>44125</v>
      </c>
      <c r="B712" s="23" t="s">
        <v>50</v>
      </c>
      <c r="C712" s="23">
        <v>8.0629999999999993E-2</v>
      </c>
      <c r="D712" s="23">
        <v>0.10838</v>
      </c>
      <c r="E712" s="23">
        <v>0.14788000000000001</v>
      </c>
      <c r="F712" s="23">
        <v>0.18262999999999999</v>
      </c>
      <c r="G712" s="23">
        <v>0.20913000000000001</v>
      </c>
      <c r="H712" s="23">
        <v>0.246</v>
      </c>
      <c r="I712" s="23">
        <v>0.33488000000000001</v>
      </c>
    </row>
    <row r="713" spans="1:9" s="21" customFormat="1" ht="20.100000000000001" customHeight="1" x14ac:dyDescent="0.2">
      <c r="A713" s="22">
        <v>44126</v>
      </c>
      <c r="B713" s="23" t="s">
        <v>51</v>
      </c>
      <c r="C713" s="23">
        <v>8.4129999999999996E-2</v>
      </c>
      <c r="D713" s="23">
        <v>0.10274999999999999</v>
      </c>
      <c r="E713" s="23">
        <v>0.14924999999999999</v>
      </c>
      <c r="F713" s="23">
        <v>0.18625</v>
      </c>
      <c r="G713" s="23">
        <v>0.21475</v>
      </c>
      <c r="H713" s="23">
        <v>0.246</v>
      </c>
      <c r="I713" s="23">
        <v>0.33512999999999998</v>
      </c>
    </row>
    <row r="714" spans="1:9" s="21" customFormat="1" ht="20.100000000000001" customHeight="1" x14ac:dyDescent="0.2">
      <c r="A714" s="22">
        <v>44127</v>
      </c>
      <c r="B714" s="23" t="s">
        <v>52</v>
      </c>
      <c r="C714" s="23">
        <v>8.1379999999999994E-2</v>
      </c>
      <c r="D714" s="23">
        <v>0.10274999999999999</v>
      </c>
      <c r="E714" s="23">
        <v>0.15625</v>
      </c>
      <c r="F714" s="23">
        <v>0.188</v>
      </c>
      <c r="G714" s="23">
        <v>0.2165</v>
      </c>
      <c r="H714" s="23">
        <v>0.24937999999999999</v>
      </c>
      <c r="I714" s="23">
        <v>0.33662999999999998</v>
      </c>
    </row>
    <row r="715" spans="1:9" s="21" customFormat="1" ht="20.100000000000001" customHeight="1" x14ac:dyDescent="0.2">
      <c r="A715" s="22">
        <v>44130</v>
      </c>
      <c r="B715" s="23" t="s">
        <v>53</v>
      </c>
      <c r="C715" s="23">
        <v>8.0629999999999993E-2</v>
      </c>
      <c r="D715" s="23">
        <v>0.10249999999999999</v>
      </c>
      <c r="E715" s="23">
        <v>0.1515</v>
      </c>
      <c r="F715" s="23">
        <v>0.17924999999999999</v>
      </c>
      <c r="G715" s="23">
        <v>0.22225</v>
      </c>
      <c r="H715" s="23">
        <v>0.24625</v>
      </c>
      <c r="I715" s="23">
        <v>0.33200000000000002</v>
      </c>
    </row>
    <row r="716" spans="1:9" s="21" customFormat="1" ht="20.100000000000001" customHeight="1" x14ac:dyDescent="0.2">
      <c r="A716" s="22">
        <v>44131</v>
      </c>
      <c r="B716" s="23" t="s">
        <v>49</v>
      </c>
      <c r="C716" s="23">
        <v>8.1629999999999994E-2</v>
      </c>
      <c r="D716" s="23">
        <v>9.375E-2</v>
      </c>
      <c r="E716" s="23">
        <v>0.14463000000000001</v>
      </c>
      <c r="F716" s="23">
        <v>0.17</v>
      </c>
      <c r="G716" s="23">
        <v>0.21325</v>
      </c>
      <c r="H716" s="23">
        <v>0.2465</v>
      </c>
      <c r="I716" s="23">
        <v>0.33174999999999999</v>
      </c>
    </row>
    <row r="717" spans="1:9" s="21" customFormat="1" ht="20.100000000000001" customHeight="1" x14ac:dyDescent="0.2">
      <c r="A717" s="22">
        <v>44132</v>
      </c>
      <c r="B717" s="23" t="s">
        <v>50</v>
      </c>
      <c r="C717" s="23">
        <v>8.0250000000000002E-2</v>
      </c>
      <c r="D717" s="23">
        <v>9.9500000000000005E-2</v>
      </c>
      <c r="E717" s="23">
        <v>0.14774999999999999</v>
      </c>
      <c r="F717" s="23">
        <v>0.16638</v>
      </c>
      <c r="G717" s="23">
        <v>0.21437999999999999</v>
      </c>
      <c r="H717" s="23">
        <v>0.24413000000000001</v>
      </c>
      <c r="I717" s="23">
        <v>0.32762999999999998</v>
      </c>
    </row>
    <row r="718" spans="1:9" s="21" customFormat="1" ht="20.100000000000001" customHeight="1" x14ac:dyDescent="0.2">
      <c r="A718" s="22">
        <v>44133</v>
      </c>
      <c r="B718" s="23" t="s">
        <v>51</v>
      </c>
      <c r="C718" s="23">
        <v>8.1000000000000003E-2</v>
      </c>
      <c r="D718" s="23">
        <v>0.10513</v>
      </c>
      <c r="E718" s="23">
        <v>0.14913000000000001</v>
      </c>
      <c r="F718" s="23">
        <v>0.16625000000000001</v>
      </c>
      <c r="G718" s="23">
        <v>0.21437999999999999</v>
      </c>
      <c r="H718" s="23">
        <v>0.24288000000000001</v>
      </c>
      <c r="I718" s="23">
        <v>0.33100000000000002</v>
      </c>
    </row>
    <row r="719" spans="1:9" s="21" customFormat="1" ht="20.100000000000001" customHeight="1" x14ac:dyDescent="0.2">
      <c r="A719" s="22">
        <v>44134</v>
      </c>
      <c r="B719" s="23" t="s">
        <v>52</v>
      </c>
      <c r="C719" s="23">
        <v>8.1379999999999994E-2</v>
      </c>
      <c r="D719" s="23">
        <v>0.10363</v>
      </c>
      <c r="E719" s="23">
        <v>0.14025000000000001</v>
      </c>
      <c r="F719" s="23">
        <v>0.17563000000000001</v>
      </c>
      <c r="G719" s="23">
        <v>0.21575</v>
      </c>
      <c r="H719" s="23">
        <v>0.24213000000000001</v>
      </c>
      <c r="I719" s="23">
        <v>0.33012999999999998</v>
      </c>
    </row>
    <row r="720" spans="1:9" s="21" customFormat="1" ht="20.100000000000001" customHeight="1" x14ac:dyDescent="0.2">
      <c r="A720" s="22">
        <v>44137</v>
      </c>
      <c r="B720" s="23" t="s">
        <v>53</v>
      </c>
      <c r="C720" s="23">
        <v>8.1129999999999994E-2</v>
      </c>
      <c r="D720" s="23">
        <v>0.10438</v>
      </c>
      <c r="E720" s="23">
        <v>0.14050000000000001</v>
      </c>
      <c r="F720" s="23">
        <v>0.17488000000000001</v>
      </c>
      <c r="G720" s="23">
        <v>0.22012999999999999</v>
      </c>
      <c r="H720" s="23">
        <v>0.246</v>
      </c>
      <c r="I720" s="23">
        <v>0.33238000000000001</v>
      </c>
    </row>
    <row r="721" spans="1:9" s="21" customFormat="1" ht="20.100000000000001" customHeight="1" x14ac:dyDescent="0.2">
      <c r="A721" s="22">
        <v>44138</v>
      </c>
      <c r="B721" s="23" t="s">
        <v>49</v>
      </c>
      <c r="C721" s="23">
        <v>8.2000000000000003E-2</v>
      </c>
      <c r="D721" s="23">
        <v>0.10349999999999999</v>
      </c>
      <c r="E721" s="23">
        <v>0.13763</v>
      </c>
      <c r="F721" s="23">
        <v>0.17588000000000001</v>
      </c>
      <c r="G721" s="23">
        <v>0.22475000000000001</v>
      </c>
      <c r="H721" s="23">
        <v>0.24388000000000001</v>
      </c>
      <c r="I721" s="23">
        <v>0.33400000000000002</v>
      </c>
    </row>
    <row r="722" spans="1:9" s="21" customFormat="1" ht="20.100000000000001" customHeight="1" x14ac:dyDescent="0.2">
      <c r="A722" s="22">
        <v>44139</v>
      </c>
      <c r="B722" s="23" t="s">
        <v>50</v>
      </c>
      <c r="C722" s="23">
        <v>8.1500000000000003E-2</v>
      </c>
      <c r="D722" s="23">
        <v>0.10213</v>
      </c>
      <c r="E722" s="23">
        <v>0.13613</v>
      </c>
      <c r="F722" s="23">
        <v>0.17013</v>
      </c>
      <c r="G722" s="23">
        <v>0.23225000000000001</v>
      </c>
      <c r="H722" s="23">
        <v>0.24374999999999999</v>
      </c>
      <c r="I722" s="23">
        <v>0.33312999999999998</v>
      </c>
    </row>
    <row r="723" spans="1:9" s="21" customFormat="1" ht="20.100000000000001" customHeight="1" x14ac:dyDescent="0.2">
      <c r="A723" s="22">
        <v>44140</v>
      </c>
      <c r="B723" s="23" t="s">
        <v>51</v>
      </c>
      <c r="C723" s="23">
        <v>8.1379999999999994E-2</v>
      </c>
      <c r="D723" s="23">
        <v>0.10475</v>
      </c>
      <c r="E723" s="23">
        <v>0.12662999999999999</v>
      </c>
      <c r="F723" s="23">
        <v>0.17163</v>
      </c>
      <c r="G723" s="23">
        <v>0.21299999999999999</v>
      </c>
      <c r="H723" s="23">
        <v>0.24625</v>
      </c>
      <c r="I723" s="23">
        <v>0.33374999999999999</v>
      </c>
    </row>
    <row r="724" spans="1:9" s="21" customFormat="1" ht="20.100000000000001" customHeight="1" x14ac:dyDescent="0.2">
      <c r="A724" s="22">
        <v>44141</v>
      </c>
      <c r="B724" s="23" t="s">
        <v>52</v>
      </c>
      <c r="C724" s="23">
        <v>8.2629999999999995E-2</v>
      </c>
      <c r="D724" s="23">
        <v>0.10249999999999999</v>
      </c>
      <c r="E724" s="23">
        <v>0.12775</v>
      </c>
      <c r="F724" s="23">
        <v>0.17199999999999999</v>
      </c>
      <c r="G724" s="23">
        <v>0.20588000000000001</v>
      </c>
      <c r="H724" s="23">
        <v>0.24338000000000001</v>
      </c>
      <c r="I724" s="23">
        <v>0.33338000000000001</v>
      </c>
    </row>
    <row r="725" spans="1:9" s="21" customFormat="1" ht="20.100000000000001" customHeight="1" x14ac:dyDescent="0.2">
      <c r="A725" s="22">
        <v>44144</v>
      </c>
      <c r="B725" s="23" t="s">
        <v>53</v>
      </c>
      <c r="C725" s="23">
        <v>8.1129999999999994E-2</v>
      </c>
      <c r="D725" s="23">
        <v>0.10188</v>
      </c>
      <c r="E725" s="23">
        <v>0.12988</v>
      </c>
      <c r="F725" s="23">
        <v>0.17</v>
      </c>
      <c r="G725" s="23">
        <v>0.20499999999999999</v>
      </c>
      <c r="H725" s="23">
        <v>0.24174999999999999</v>
      </c>
      <c r="I725" s="23">
        <v>0.33250000000000002</v>
      </c>
    </row>
    <row r="726" spans="1:9" s="21" customFormat="1" ht="20.100000000000001" customHeight="1" x14ac:dyDescent="0.2">
      <c r="A726" s="22">
        <v>44145</v>
      </c>
      <c r="B726" s="23" t="s">
        <v>49</v>
      </c>
      <c r="C726" s="23">
        <v>8.4879999999999997E-2</v>
      </c>
      <c r="D726" s="23">
        <v>0.1065</v>
      </c>
      <c r="E726" s="23">
        <v>0.14013</v>
      </c>
      <c r="F726" s="23">
        <v>0.17199999999999999</v>
      </c>
      <c r="G726" s="23">
        <v>0.21362999999999999</v>
      </c>
      <c r="H726" s="23">
        <v>0.24299999999999999</v>
      </c>
      <c r="I726" s="23">
        <v>0.33812999999999999</v>
      </c>
    </row>
    <row r="727" spans="1:9" s="21" customFormat="1" ht="20.100000000000001" customHeight="1" x14ac:dyDescent="0.2">
      <c r="A727" s="22">
        <v>44146</v>
      </c>
      <c r="B727" s="23" t="s">
        <v>50</v>
      </c>
      <c r="C727" s="23"/>
      <c r="D727" s="23">
        <v>0.10088</v>
      </c>
      <c r="E727" s="23">
        <v>0.14138000000000001</v>
      </c>
      <c r="F727" s="23">
        <v>0.17449999999999999</v>
      </c>
      <c r="G727" s="23">
        <v>0.22062999999999999</v>
      </c>
      <c r="H727" s="23">
        <v>0.24612999999999999</v>
      </c>
      <c r="I727" s="23">
        <v>0.34188000000000002</v>
      </c>
    </row>
    <row r="728" spans="1:9" s="21" customFormat="1" ht="20.100000000000001" customHeight="1" x14ac:dyDescent="0.2">
      <c r="A728" s="22">
        <v>44147</v>
      </c>
      <c r="B728" s="23" t="s">
        <v>51</v>
      </c>
      <c r="C728" s="23">
        <v>8.1500000000000003E-2</v>
      </c>
      <c r="D728" s="23">
        <v>0.10138</v>
      </c>
      <c r="E728" s="23">
        <v>0.14088000000000001</v>
      </c>
      <c r="F728" s="23">
        <v>0.17438000000000001</v>
      </c>
      <c r="G728" s="23">
        <v>0.221</v>
      </c>
      <c r="H728" s="23">
        <v>0.25137999999999999</v>
      </c>
      <c r="I728" s="23">
        <v>0.34050000000000002</v>
      </c>
    </row>
    <row r="729" spans="1:9" s="21" customFormat="1" ht="20.100000000000001" customHeight="1" x14ac:dyDescent="0.2">
      <c r="A729" s="22">
        <v>44148</v>
      </c>
      <c r="B729" s="23" t="s">
        <v>52</v>
      </c>
      <c r="C729" s="23">
        <v>8.3250000000000005E-2</v>
      </c>
      <c r="D729" s="23">
        <v>0.10463</v>
      </c>
      <c r="E729" s="23">
        <v>0.13638</v>
      </c>
      <c r="F729" s="23">
        <v>0.16900000000000001</v>
      </c>
      <c r="G729" s="23">
        <v>0.222</v>
      </c>
      <c r="H729" s="23">
        <v>0.246</v>
      </c>
      <c r="I729" s="23">
        <v>0.33938000000000001</v>
      </c>
    </row>
    <row r="730" spans="1:9" s="21" customFormat="1" ht="20.100000000000001" customHeight="1" x14ac:dyDescent="0.2">
      <c r="A730" s="22">
        <v>44151</v>
      </c>
      <c r="B730" s="23" t="s">
        <v>53</v>
      </c>
      <c r="C730" s="23">
        <v>8.3629999999999996E-2</v>
      </c>
      <c r="D730" s="23">
        <v>0.10075000000000001</v>
      </c>
      <c r="E730" s="23">
        <v>0.14349999999999999</v>
      </c>
      <c r="F730" s="23">
        <v>0.17399999999999999</v>
      </c>
      <c r="G730" s="23">
        <v>0.22037999999999999</v>
      </c>
      <c r="H730" s="23">
        <v>0.249</v>
      </c>
      <c r="I730" s="23">
        <v>0.33962999999999999</v>
      </c>
    </row>
    <row r="731" spans="1:9" s="21" customFormat="1" ht="20.100000000000001" customHeight="1" x14ac:dyDescent="0.2">
      <c r="A731" s="22">
        <v>44152</v>
      </c>
      <c r="B731" s="23" t="s">
        <v>49</v>
      </c>
      <c r="C731" s="23">
        <v>8.2129999999999995E-2</v>
      </c>
      <c r="D731" s="23">
        <v>0.10199999999999999</v>
      </c>
      <c r="E731" s="23">
        <v>0.14949999999999999</v>
      </c>
      <c r="F731" s="23">
        <v>0.18487999999999999</v>
      </c>
      <c r="G731" s="23">
        <v>0.23100000000000001</v>
      </c>
      <c r="H731" s="23">
        <v>0.25800000000000001</v>
      </c>
      <c r="I731" s="23">
        <v>0.33875</v>
      </c>
    </row>
    <row r="732" spans="1:9" s="21" customFormat="1" ht="20.100000000000001" customHeight="1" x14ac:dyDescent="0.2">
      <c r="A732" s="22">
        <v>44153</v>
      </c>
      <c r="B732" s="23" t="s">
        <v>50</v>
      </c>
      <c r="C732" s="23">
        <v>8.2250000000000004E-2</v>
      </c>
      <c r="D732" s="23">
        <v>0.10288</v>
      </c>
      <c r="E732" s="23">
        <v>0.14649999999999999</v>
      </c>
      <c r="F732" s="23">
        <v>0.18163000000000001</v>
      </c>
      <c r="G732" s="23">
        <v>0.22375</v>
      </c>
      <c r="H732" s="23">
        <v>0.25688</v>
      </c>
      <c r="I732" s="23">
        <v>0.33875</v>
      </c>
    </row>
    <row r="733" spans="1:9" s="21" customFormat="1" ht="20.100000000000001" customHeight="1" x14ac:dyDescent="0.2">
      <c r="A733" s="22">
        <v>44154</v>
      </c>
      <c r="B733" s="23" t="s">
        <v>51</v>
      </c>
      <c r="C733" s="23">
        <v>8.2379999999999995E-2</v>
      </c>
      <c r="D733" s="23">
        <v>0.10288</v>
      </c>
      <c r="E733" s="23">
        <v>0.14549999999999999</v>
      </c>
      <c r="F733" s="23">
        <v>0.17613000000000001</v>
      </c>
      <c r="G733" s="23">
        <v>0.21263000000000001</v>
      </c>
      <c r="H733" s="23">
        <v>0.2555</v>
      </c>
      <c r="I733" s="23">
        <v>0.33862999999999999</v>
      </c>
    </row>
    <row r="734" spans="1:9" s="21" customFormat="1" ht="20.100000000000001" customHeight="1" x14ac:dyDescent="0.2">
      <c r="A734" s="22">
        <v>44155</v>
      </c>
      <c r="B734" s="23" t="s">
        <v>52</v>
      </c>
      <c r="C734" s="23">
        <v>8.2629999999999995E-2</v>
      </c>
      <c r="D734" s="23">
        <v>9.6629999999999994E-2</v>
      </c>
      <c r="E734" s="23">
        <v>0.15013000000000001</v>
      </c>
      <c r="F734" s="23">
        <v>0.17388000000000001</v>
      </c>
      <c r="G734" s="23">
        <v>0.20488000000000001</v>
      </c>
      <c r="H734" s="23">
        <v>0.24875</v>
      </c>
      <c r="I734" s="23">
        <v>0.33650000000000002</v>
      </c>
    </row>
    <row r="735" spans="1:9" s="21" customFormat="1" ht="20.100000000000001" customHeight="1" x14ac:dyDescent="0.2">
      <c r="A735" s="22">
        <v>44158</v>
      </c>
      <c r="B735" s="23" t="s">
        <v>53</v>
      </c>
      <c r="C735" s="23">
        <v>8.2000000000000003E-2</v>
      </c>
      <c r="D735" s="23">
        <v>0.10125000000000001</v>
      </c>
      <c r="E735" s="23">
        <v>0.15013000000000001</v>
      </c>
      <c r="F735" s="23">
        <v>0.17299999999999999</v>
      </c>
      <c r="G735" s="23">
        <v>0.20649999999999999</v>
      </c>
      <c r="H735" s="23">
        <v>0.25374999999999998</v>
      </c>
      <c r="I735" s="23">
        <v>0.33562999999999998</v>
      </c>
    </row>
    <row r="736" spans="1:9" s="21" customFormat="1" ht="20.100000000000001" customHeight="1" x14ac:dyDescent="0.2">
      <c r="A736" s="22">
        <v>44159</v>
      </c>
      <c r="B736" s="23" t="s">
        <v>49</v>
      </c>
      <c r="C736" s="23">
        <v>8.0130000000000007E-2</v>
      </c>
      <c r="D736" s="23">
        <v>9.5130000000000006E-2</v>
      </c>
      <c r="E736" s="23">
        <v>0.14299999999999999</v>
      </c>
      <c r="F736" s="23">
        <v>0.17699999999999999</v>
      </c>
      <c r="G736" s="23">
        <v>0.23225000000000001</v>
      </c>
      <c r="H736" s="23">
        <v>0.2545</v>
      </c>
      <c r="I736" s="23">
        <v>0.33562999999999998</v>
      </c>
    </row>
    <row r="737" spans="1:9" s="21" customFormat="1" ht="20.100000000000001" customHeight="1" x14ac:dyDescent="0.2">
      <c r="A737" s="22">
        <v>44160</v>
      </c>
      <c r="B737" s="23" t="s">
        <v>50</v>
      </c>
      <c r="C737" s="23">
        <v>0.08</v>
      </c>
      <c r="D737" s="23">
        <v>9.5000000000000001E-2</v>
      </c>
      <c r="E737" s="23">
        <v>0.14549999999999999</v>
      </c>
      <c r="F737" s="23">
        <v>0.17888000000000001</v>
      </c>
      <c r="G737" s="23">
        <v>0.23300000000000001</v>
      </c>
      <c r="H737" s="23">
        <v>0.26</v>
      </c>
      <c r="I737" s="23">
        <v>0.33738000000000001</v>
      </c>
    </row>
    <row r="738" spans="1:9" s="21" customFormat="1" ht="20.100000000000001" customHeight="1" x14ac:dyDescent="0.2">
      <c r="A738" s="22">
        <v>44161</v>
      </c>
      <c r="B738" s="23" t="s">
        <v>51</v>
      </c>
      <c r="C738" s="23"/>
      <c r="D738" s="23">
        <v>9.2130000000000004E-2</v>
      </c>
      <c r="E738" s="23">
        <v>0.14674999999999999</v>
      </c>
      <c r="F738" s="23">
        <v>0.17913000000000001</v>
      </c>
      <c r="G738" s="23">
        <v>0.22438</v>
      </c>
      <c r="H738" s="23">
        <v>0.255</v>
      </c>
      <c r="I738" s="23">
        <v>0.33300000000000002</v>
      </c>
    </row>
    <row r="739" spans="1:9" s="21" customFormat="1" ht="20.100000000000001" customHeight="1" x14ac:dyDescent="0.2">
      <c r="A739" s="22">
        <v>44162</v>
      </c>
      <c r="B739" s="23" t="s">
        <v>52</v>
      </c>
      <c r="C739" s="23">
        <v>8.0250000000000002E-2</v>
      </c>
      <c r="D739" s="23">
        <v>9.2880000000000004E-2</v>
      </c>
      <c r="E739" s="23">
        <v>0.15475</v>
      </c>
      <c r="F739" s="23">
        <v>0.18275</v>
      </c>
      <c r="G739" s="23">
        <v>0.22538</v>
      </c>
      <c r="H739" s="23">
        <v>0.25738</v>
      </c>
      <c r="I739" s="23">
        <v>0.33038000000000001</v>
      </c>
    </row>
    <row r="740" spans="1:9" s="21" customFormat="1" ht="20.100000000000001" customHeight="1" x14ac:dyDescent="0.2">
      <c r="A740" s="22">
        <v>44165</v>
      </c>
      <c r="B740" s="23" t="s">
        <v>53</v>
      </c>
      <c r="C740" s="23">
        <v>8.5000000000000006E-2</v>
      </c>
      <c r="D740" s="23">
        <v>9.5750000000000002E-2</v>
      </c>
      <c r="E740" s="23">
        <v>0.15337999999999999</v>
      </c>
      <c r="F740" s="23">
        <v>0.18063000000000001</v>
      </c>
      <c r="G740" s="23">
        <v>0.22763</v>
      </c>
      <c r="H740" s="23">
        <v>0.255</v>
      </c>
      <c r="I740" s="23">
        <v>0.33024999999999999</v>
      </c>
    </row>
    <row r="741" spans="1:9" s="21" customFormat="1" ht="20.100000000000001" customHeight="1" x14ac:dyDescent="0.2">
      <c r="A741" s="22">
        <v>44166</v>
      </c>
      <c r="B741" s="23" t="s">
        <v>49</v>
      </c>
      <c r="C741" s="23">
        <v>8.0500000000000002E-2</v>
      </c>
      <c r="D741" s="23">
        <v>0.10088</v>
      </c>
      <c r="E741" s="23">
        <v>0.14763000000000001</v>
      </c>
      <c r="F741" s="23">
        <v>0.18262999999999999</v>
      </c>
      <c r="G741" s="23">
        <v>0.23200000000000001</v>
      </c>
      <c r="H741" s="23">
        <v>0.25874999999999998</v>
      </c>
      <c r="I741" s="23">
        <v>0.33312999999999998</v>
      </c>
    </row>
    <row r="742" spans="1:9" s="21" customFormat="1" ht="20.100000000000001" customHeight="1" x14ac:dyDescent="0.2">
      <c r="A742" s="22">
        <v>44167</v>
      </c>
      <c r="B742" s="23" t="s">
        <v>50</v>
      </c>
      <c r="C742" s="23">
        <v>8.1500000000000003E-2</v>
      </c>
      <c r="D742" s="23">
        <v>0.10324999999999999</v>
      </c>
      <c r="E742" s="23">
        <v>0.15212999999999999</v>
      </c>
      <c r="F742" s="23">
        <v>0.188</v>
      </c>
      <c r="G742" s="23">
        <v>0.23050000000000001</v>
      </c>
      <c r="H742" s="23">
        <v>0.25824999999999998</v>
      </c>
      <c r="I742" s="23">
        <v>0.33438000000000001</v>
      </c>
    </row>
    <row r="743" spans="1:9" s="21" customFormat="1" ht="20.100000000000001" customHeight="1" x14ac:dyDescent="0.2">
      <c r="A743" s="22">
        <v>44168</v>
      </c>
      <c r="B743" s="23" t="s">
        <v>51</v>
      </c>
      <c r="C743" s="23">
        <v>8.2750000000000004E-2</v>
      </c>
      <c r="D743" s="23">
        <v>0.10338</v>
      </c>
      <c r="E743" s="23">
        <v>0.15275</v>
      </c>
      <c r="F743" s="23">
        <v>0.18962999999999999</v>
      </c>
      <c r="G743" s="23">
        <v>0.22538</v>
      </c>
      <c r="H743" s="23">
        <v>0.25738</v>
      </c>
      <c r="I743" s="23">
        <v>0.33638000000000001</v>
      </c>
    </row>
    <row r="744" spans="1:9" s="21" customFormat="1" ht="20.100000000000001" customHeight="1" x14ac:dyDescent="0.2">
      <c r="A744" s="22">
        <v>44169</v>
      </c>
      <c r="B744" s="23" t="s">
        <v>52</v>
      </c>
      <c r="C744" s="23">
        <v>8.3250000000000005E-2</v>
      </c>
      <c r="D744" s="23">
        <v>9.5130000000000006E-2</v>
      </c>
      <c r="E744" s="23">
        <v>0.15175</v>
      </c>
      <c r="F744" s="23">
        <v>0.18862999999999999</v>
      </c>
      <c r="G744" s="23">
        <v>0.22588</v>
      </c>
      <c r="H744" s="23">
        <v>0.25574999999999998</v>
      </c>
      <c r="I744" s="23">
        <v>0.33674999999999999</v>
      </c>
    </row>
    <row r="745" spans="1:9" s="21" customFormat="1" ht="20.100000000000001" customHeight="1" x14ac:dyDescent="0.2">
      <c r="A745" s="22">
        <v>44172</v>
      </c>
      <c r="B745" s="23" t="s">
        <v>53</v>
      </c>
      <c r="C745" s="23">
        <v>8.2879999999999995E-2</v>
      </c>
      <c r="D745" s="23">
        <v>9.7750000000000004E-2</v>
      </c>
      <c r="E745" s="23">
        <v>0.14574999999999999</v>
      </c>
      <c r="F745" s="23">
        <v>0.18174999999999999</v>
      </c>
      <c r="G745" s="23">
        <v>0.23038</v>
      </c>
      <c r="H745" s="23">
        <v>0.25313000000000002</v>
      </c>
      <c r="I745" s="23">
        <v>0.33825</v>
      </c>
    </row>
    <row r="746" spans="1:9" s="21" customFormat="1" ht="20.100000000000001" customHeight="1" x14ac:dyDescent="0.2">
      <c r="A746" s="22">
        <v>44173</v>
      </c>
      <c r="B746" s="23" t="s">
        <v>49</v>
      </c>
      <c r="C746" s="23">
        <v>8.2500000000000004E-2</v>
      </c>
      <c r="D746" s="23">
        <v>0.10663</v>
      </c>
      <c r="E746" s="23">
        <v>0.14874999999999999</v>
      </c>
      <c r="F746" s="23">
        <v>0.1905</v>
      </c>
      <c r="G746" s="23">
        <v>0.23</v>
      </c>
      <c r="H746" s="23">
        <v>0.25337999999999999</v>
      </c>
      <c r="I746" s="23">
        <v>0.33724999999999999</v>
      </c>
    </row>
    <row r="747" spans="1:9" s="21" customFormat="1" ht="20.100000000000001" customHeight="1" x14ac:dyDescent="0.2">
      <c r="A747" s="22">
        <v>44174</v>
      </c>
      <c r="B747" s="23" t="s">
        <v>50</v>
      </c>
      <c r="C747" s="23">
        <v>8.2629999999999995E-2</v>
      </c>
      <c r="D747" s="23">
        <v>0.10525</v>
      </c>
      <c r="E747" s="23">
        <v>0.14788000000000001</v>
      </c>
      <c r="F747" s="23">
        <v>0.19388</v>
      </c>
      <c r="G747" s="23">
        <v>0.22062999999999999</v>
      </c>
      <c r="H747" s="23">
        <v>0.25074999999999997</v>
      </c>
      <c r="I747" s="23">
        <v>0.33588000000000001</v>
      </c>
    </row>
    <row r="748" spans="1:9" s="21" customFormat="1" ht="20.100000000000001" customHeight="1" x14ac:dyDescent="0.2">
      <c r="A748" s="22">
        <v>44175</v>
      </c>
      <c r="B748" s="23" t="s">
        <v>51</v>
      </c>
      <c r="C748" s="23">
        <v>8.2879999999999995E-2</v>
      </c>
      <c r="D748" s="23">
        <v>0.10363</v>
      </c>
      <c r="E748" s="23">
        <v>0.15387999999999999</v>
      </c>
      <c r="F748" s="23">
        <v>0.18575</v>
      </c>
      <c r="G748" s="23">
        <v>0.2195</v>
      </c>
      <c r="H748" s="23">
        <v>0.24475</v>
      </c>
      <c r="I748" s="23">
        <v>0.33450000000000002</v>
      </c>
    </row>
    <row r="749" spans="1:9" s="21" customFormat="1" ht="20.100000000000001" customHeight="1" x14ac:dyDescent="0.2">
      <c r="A749" s="22">
        <v>44176</v>
      </c>
      <c r="B749" s="23" t="s">
        <v>52</v>
      </c>
      <c r="C749" s="23">
        <v>8.3250000000000005E-2</v>
      </c>
      <c r="D749" s="23">
        <v>9.9379999999999996E-2</v>
      </c>
      <c r="E749" s="23">
        <v>0.15862999999999999</v>
      </c>
      <c r="F749" s="23">
        <v>0.17663000000000001</v>
      </c>
      <c r="G749" s="23">
        <v>0.2165</v>
      </c>
      <c r="H749" s="23">
        <v>0.24875</v>
      </c>
      <c r="I749" s="23">
        <v>0.33588000000000001</v>
      </c>
    </row>
    <row r="750" spans="1:9" s="21" customFormat="1" ht="20.100000000000001" customHeight="1" x14ac:dyDescent="0.2">
      <c r="A750" s="22">
        <v>44179</v>
      </c>
      <c r="B750" s="23" t="s">
        <v>53</v>
      </c>
      <c r="C750" s="23">
        <v>8.2500000000000004E-2</v>
      </c>
      <c r="D750" s="23">
        <v>9.8250000000000004E-2</v>
      </c>
      <c r="E750" s="23">
        <v>0.15312999999999999</v>
      </c>
      <c r="F750" s="23">
        <v>0.17338000000000001</v>
      </c>
      <c r="G750" s="23">
        <v>0.21925</v>
      </c>
      <c r="H750" s="23">
        <v>0.24712999999999999</v>
      </c>
      <c r="I750" s="23">
        <v>0.33488000000000001</v>
      </c>
    </row>
    <row r="751" spans="1:9" s="21" customFormat="1" ht="20.100000000000001" customHeight="1" x14ac:dyDescent="0.2">
      <c r="A751" s="22">
        <v>44180</v>
      </c>
      <c r="B751" s="23" t="s">
        <v>49</v>
      </c>
      <c r="C751" s="23">
        <v>8.2000000000000003E-2</v>
      </c>
      <c r="D751" s="23">
        <v>0.10199999999999999</v>
      </c>
      <c r="E751" s="23">
        <v>0.1525</v>
      </c>
      <c r="F751" s="23">
        <v>0.17924999999999999</v>
      </c>
      <c r="G751" s="23">
        <v>0.22875000000000001</v>
      </c>
      <c r="H751" s="23">
        <v>0.25174999999999997</v>
      </c>
      <c r="I751" s="23">
        <v>0.33124999999999999</v>
      </c>
    </row>
    <row r="752" spans="1:9" s="21" customFormat="1" ht="20.100000000000001" customHeight="1" x14ac:dyDescent="0.2">
      <c r="A752" s="22">
        <v>44181</v>
      </c>
      <c r="B752" s="23" t="s">
        <v>50</v>
      </c>
      <c r="C752" s="23">
        <v>8.1250000000000003E-2</v>
      </c>
      <c r="D752" s="23">
        <v>0.10075000000000001</v>
      </c>
      <c r="E752" s="23">
        <v>0.15787999999999999</v>
      </c>
      <c r="F752" s="23">
        <v>0.18562999999999999</v>
      </c>
      <c r="G752" s="23">
        <v>0.23638000000000001</v>
      </c>
      <c r="H752" s="23">
        <v>0.2555</v>
      </c>
      <c r="I752" s="23">
        <v>0.33312999999999998</v>
      </c>
    </row>
    <row r="753" spans="1:9" s="21" customFormat="1" ht="20.100000000000001" customHeight="1" x14ac:dyDescent="0.2">
      <c r="A753" s="22">
        <v>44182</v>
      </c>
      <c r="B753" s="23" t="s">
        <v>51</v>
      </c>
      <c r="C753" s="23">
        <v>8.5379999999999998E-2</v>
      </c>
      <c r="D753" s="23">
        <v>0.10138</v>
      </c>
      <c r="E753" s="23">
        <v>0.15162999999999999</v>
      </c>
      <c r="F753" s="23">
        <v>0.19388</v>
      </c>
      <c r="G753" s="23">
        <v>0.23863000000000001</v>
      </c>
      <c r="H753" s="23">
        <v>0.26</v>
      </c>
      <c r="I753" s="23">
        <v>0.33388000000000001</v>
      </c>
    </row>
    <row r="754" spans="1:9" s="21" customFormat="1" ht="20.100000000000001" customHeight="1" x14ac:dyDescent="0.2">
      <c r="A754" s="22">
        <v>44183</v>
      </c>
      <c r="B754" s="23" t="s">
        <v>52</v>
      </c>
      <c r="C754" s="23">
        <v>8.4379999999999997E-2</v>
      </c>
      <c r="D754" s="23">
        <v>0.10113</v>
      </c>
      <c r="E754" s="23">
        <v>0.14374999999999999</v>
      </c>
      <c r="F754" s="23">
        <v>0.19037999999999999</v>
      </c>
      <c r="G754" s="23">
        <v>0.23574999999999999</v>
      </c>
      <c r="H754" s="23">
        <v>0.25850000000000001</v>
      </c>
      <c r="I754" s="23">
        <v>0.33400000000000002</v>
      </c>
    </row>
    <row r="755" spans="1:9" s="21" customFormat="1" ht="20.100000000000001" customHeight="1" x14ac:dyDescent="0.2">
      <c r="A755" s="22">
        <v>44186</v>
      </c>
      <c r="B755" s="23" t="s">
        <v>53</v>
      </c>
      <c r="C755" s="23">
        <v>8.4629999999999997E-2</v>
      </c>
      <c r="D755" s="23">
        <v>9.6379999999999993E-2</v>
      </c>
      <c r="E755" s="23">
        <v>0.14524999999999999</v>
      </c>
      <c r="F755" s="23">
        <v>0.19213</v>
      </c>
      <c r="G755" s="23">
        <v>0.24487999999999999</v>
      </c>
      <c r="H755" s="23">
        <v>0.26050000000000001</v>
      </c>
      <c r="I755" s="23">
        <v>0.33250000000000002</v>
      </c>
    </row>
    <row r="756" spans="1:9" s="21" customFormat="1" ht="20.100000000000001" customHeight="1" x14ac:dyDescent="0.2">
      <c r="A756" s="22">
        <v>44187</v>
      </c>
      <c r="B756" s="23" t="s">
        <v>49</v>
      </c>
      <c r="C756" s="23">
        <v>8.5129999999999997E-2</v>
      </c>
      <c r="D756" s="23">
        <v>0.10100000000000001</v>
      </c>
      <c r="E756" s="23">
        <v>0.14324999999999999</v>
      </c>
      <c r="F756" s="23">
        <v>0.18512999999999999</v>
      </c>
      <c r="G756" s="23">
        <v>0.23813000000000001</v>
      </c>
      <c r="H756" s="23">
        <v>0.26274999999999998</v>
      </c>
      <c r="I756" s="23">
        <v>0.33724999999999999</v>
      </c>
    </row>
    <row r="757" spans="1:9" s="21" customFormat="1" ht="20.100000000000001" customHeight="1" x14ac:dyDescent="0.2">
      <c r="A757" s="22">
        <v>44188</v>
      </c>
      <c r="B757" s="23" t="s">
        <v>50</v>
      </c>
      <c r="C757" s="23">
        <v>8.5629999999999998E-2</v>
      </c>
      <c r="D757" s="23">
        <v>0.10013</v>
      </c>
      <c r="E757" s="23">
        <v>0.14799999999999999</v>
      </c>
      <c r="F757" s="23">
        <v>0.19400000000000001</v>
      </c>
      <c r="G757" s="23">
        <v>0.251</v>
      </c>
      <c r="H757" s="23">
        <v>0.26374999999999998</v>
      </c>
      <c r="I757" s="23">
        <v>0.33862999999999999</v>
      </c>
    </row>
    <row r="758" spans="1:9" s="21" customFormat="1" ht="20.100000000000001" customHeight="1" x14ac:dyDescent="0.2">
      <c r="A758" s="22">
        <v>44189</v>
      </c>
      <c r="B758" s="23" t="s">
        <v>51</v>
      </c>
      <c r="C758" s="23">
        <v>8.1000000000000003E-2</v>
      </c>
      <c r="D758" s="23">
        <v>9.7879999999999995E-2</v>
      </c>
      <c r="E758" s="23">
        <v>0.14513000000000001</v>
      </c>
      <c r="F758" s="23">
        <v>0.18225</v>
      </c>
      <c r="G758" s="23">
        <v>0.24013000000000001</v>
      </c>
      <c r="H758" s="23">
        <v>0.26662999999999998</v>
      </c>
      <c r="I758" s="23">
        <v>0.34038000000000002</v>
      </c>
    </row>
    <row r="759" spans="1:9" s="21" customFormat="1" ht="20.100000000000001" customHeight="1" x14ac:dyDescent="0.2">
      <c r="A759" s="22">
        <v>44194</v>
      </c>
      <c r="B759" s="23" t="s">
        <v>49</v>
      </c>
      <c r="C759" s="23">
        <v>8.7379999999999999E-2</v>
      </c>
      <c r="D759" s="23">
        <v>0.10224999999999999</v>
      </c>
      <c r="E759" s="23">
        <v>0.14674999999999999</v>
      </c>
      <c r="F759" s="23">
        <v>0.19037999999999999</v>
      </c>
      <c r="G759" s="23">
        <v>0.25387999999999999</v>
      </c>
      <c r="H759" s="23">
        <v>0.25713000000000003</v>
      </c>
      <c r="I759" s="23">
        <v>0.34125</v>
      </c>
    </row>
    <row r="760" spans="1:9" s="21" customFormat="1" ht="20.100000000000001" customHeight="1" x14ac:dyDescent="0.2">
      <c r="A760" s="22">
        <v>44195</v>
      </c>
      <c r="B760" s="23" t="s">
        <v>50</v>
      </c>
      <c r="C760" s="23">
        <v>8.5629999999999998E-2</v>
      </c>
      <c r="D760" s="23">
        <v>9.4630000000000006E-2</v>
      </c>
      <c r="E760" s="23">
        <v>0.14399999999999999</v>
      </c>
      <c r="F760" s="23">
        <v>0.17763000000000001</v>
      </c>
      <c r="G760" s="23">
        <v>0.23749999999999999</v>
      </c>
      <c r="H760" s="23">
        <v>0.25950000000000001</v>
      </c>
      <c r="I760" s="23">
        <v>0.34238000000000002</v>
      </c>
    </row>
    <row r="761" spans="1:9" s="21" customFormat="1" ht="20.100000000000001" customHeight="1" x14ac:dyDescent="0.2">
      <c r="A761" s="22">
        <v>44196</v>
      </c>
      <c r="B761" s="23" t="s">
        <v>51</v>
      </c>
      <c r="C761" s="23">
        <v>7.7630000000000005E-2</v>
      </c>
      <c r="D761" s="23">
        <v>9.5750000000000002E-2</v>
      </c>
      <c r="E761" s="23">
        <v>0.14388000000000001</v>
      </c>
      <c r="F761" s="23">
        <v>0.19037999999999999</v>
      </c>
      <c r="G761" s="23">
        <v>0.23838000000000001</v>
      </c>
      <c r="H761" s="23">
        <v>0.25763000000000003</v>
      </c>
      <c r="I761" s="23">
        <v>0.34188000000000002</v>
      </c>
    </row>
    <row r="762" spans="1:9" s="21" customFormat="1" ht="20.100000000000001" customHeight="1" x14ac:dyDescent="0.2">
      <c r="A762" s="22">
        <v>44200</v>
      </c>
      <c r="B762" s="23" t="s">
        <v>53</v>
      </c>
      <c r="C762" s="23">
        <v>8.4629999999999997E-2</v>
      </c>
      <c r="D762" s="23">
        <v>9.7250000000000003E-2</v>
      </c>
      <c r="E762" s="23">
        <v>0.13975000000000001</v>
      </c>
      <c r="F762" s="23">
        <v>0.19037999999999999</v>
      </c>
      <c r="G762" s="23">
        <v>0.23724999999999999</v>
      </c>
      <c r="H762" s="23">
        <v>0.25588</v>
      </c>
      <c r="I762" s="23">
        <v>0.34062999999999999</v>
      </c>
    </row>
    <row r="763" spans="1:9" s="21" customFormat="1" ht="20.100000000000001" customHeight="1" x14ac:dyDescent="0.2">
      <c r="A763" s="22">
        <v>44201</v>
      </c>
      <c r="B763" s="23" t="s">
        <v>49</v>
      </c>
      <c r="C763" s="23">
        <v>8.6379999999999998E-2</v>
      </c>
      <c r="D763" s="23">
        <v>0.10288</v>
      </c>
      <c r="E763" s="23">
        <v>0.13088</v>
      </c>
      <c r="F763" s="23">
        <v>0.18225</v>
      </c>
      <c r="G763" s="23">
        <v>0.23688000000000001</v>
      </c>
      <c r="H763" s="23">
        <v>0.25387999999999999</v>
      </c>
      <c r="I763" s="23">
        <v>0.32974999999999999</v>
      </c>
    </row>
    <row r="764" spans="1:9" s="21" customFormat="1" ht="20.100000000000001" customHeight="1" x14ac:dyDescent="0.2">
      <c r="A764" s="22">
        <v>44202</v>
      </c>
      <c r="B764" s="23" t="s">
        <v>50</v>
      </c>
      <c r="C764" s="23">
        <v>8.6499999999999994E-2</v>
      </c>
      <c r="D764" s="23">
        <v>0.10288</v>
      </c>
      <c r="E764" s="23">
        <v>0.13200000000000001</v>
      </c>
      <c r="F764" s="23">
        <v>0.184</v>
      </c>
      <c r="G764" s="23">
        <v>0.23400000000000001</v>
      </c>
      <c r="H764" s="23">
        <v>0.25237999999999999</v>
      </c>
      <c r="I764" s="23">
        <v>0.33238000000000001</v>
      </c>
    </row>
    <row r="765" spans="1:9" s="21" customFormat="1" ht="20.100000000000001" customHeight="1" x14ac:dyDescent="0.2">
      <c r="A765" s="22">
        <v>44203</v>
      </c>
      <c r="B765" s="23" t="s">
        <v>51</v>
      </c>
      <c r="C765" s="23">
        <v>8.6749999999999994E-2</v>
      </c>
      <c r="D765" s="23">
        <v>0.10199999999999999</v>
      </c>
      <c r="E765" s="23">
        <v>0.13263</v>
      </c>
      <c r="F765" s="23">
        <v>0.17249999999999999</v>
      </c>
      <c r="G765" s="23">
        <v>0.22475000000000001</v>
      </c>
      <c r="H765" s="23">
        <v>0.25124999999999997</v>
      </c>
      <c r="I765" s="23">
        <v>0.32924999999999999</v>
      </c>
    </row>
    <row r="766" spans="1:9" s="21" customFormat="1" ht="20.100000000000001" customHeight="1" x14ac:dyDescent="0.2">
      <c r="A766" s="22">
        <v>44204</v>
      </c>
      <c r="B766" s="23" t="s">
        <v>52</v>
      </c>
      <c r="C766" s="23">
        <v>8.6749999999999994E-2</v>
      </c>
      <c r="D766" s="23">
        <v>0.10213</v>
      </c>
      <c r="E766" s="23">
        <v>0.12637999999999999</v>
      </c>
      <c r="F766" s="23">
        <v>0.16575000000000001</v>
      </c>
      <c r="G766" s="23">
        <v>0.22438</v>
      </c>
      <c r="H766" s="23">
        <v>0.2465</v>
      </c>
      <c r="I766" s="23">
        <v>0.32962999999999998</v>
      </c>
    </row>
    <row r="767" spans="1:9" s="21" customFormat="1" ht="20.100000000000001" customHeight="1" x14ac:dyDescent="0.2">
      <c r="A767" s="22">
        <v>44207</v>
      </c>
      <c r="B767" s="23" t="s">
        <v>53</v>
      </c>
      <c r="C767" s="23">
        <v>8.6879999999999999E-2</v>
      </c>
      <c r="D767" s="23">
        <v>9.8879999999999996E-2</v>
      </c>
      <c r="E767" s="23">
        <v>0.126</v>
      </c>
      <c r="F767" s="23">
        <v>0.17674999999999999</v>
      </c>
      <c r="G767" s="23">
        <v>0.22450000000000001</v>
      </c>
      <c r="H767" s="23">
        <v>0.25024999999999997</v>
      </c>
      <c r="I767" s="23">
        <v>0.32688</v>
      </c>
    </row>
    <row r="768" spans="1:9" s="21" customFormat="1" ht="20.100000000000001" customHeight="1" x14ac:dyDescent="0.2">
      <c r="A768" s="22">
        <v>44208</v>
      </c>
      <c r="B768" s="23" t="s">
        <v>49</v>
      </c>
      <c r="C768" s="23">
        <v>8.5879999999999998E-2</v>
      </c>
      <c r="D768" s="23">
        <v>0.10163</v>
      </c>
      <c r="E768" s="23">
        <v>0.12725</v>
      </c>
      <c r="F768" s="23">
        <v>0.18562999999999999</v>
      </c>
      <c r="G768" s="23">
        <v>0.23375000000000001</v>
      </c>
      <c r="H768" s="23">
        <v>0.24762999999999999</v>
      </c>
      <c r="I768" s="23">
        <v>0.32562999999999998</v>
      </c>
    </row>
    <row r="769" spans="1:9" s="21" customFormat="1" ht="20.100000000000001" customHeight="1" x14ac:dyDescent="0.2">
      <c r="A769" s="22">
        <v>44209</v>
      </c>
      <c r="B769" s="23" t="s">
        <v>50</v>
      </c>
      <c r="C769" s="23">
        <v>8.5999999999999993E-2</v>
      </c>
      <c r="D769" s="23">
        <v>9.7879999999999995E-2</v>
      </c>
      <c r="E769" s="23">
        <v>0.1265</v>
      </c>
      <c r="F769" s="23">
        <v>0.18074999999999999</v>
      </c>
      <c r="G769" s="23">
        <v>0.24124999999999999</v>
      </c>
      <c r="H769" s="23">
        <v>0.24787999999999999</v>
      </c>
      <c r="I769" s="23">
        <v>0.32624999999999998</v>
      </c>
    </row>
    <row r="770" spans="1:9" s="21" customFormat="1" ht="20.100000000000001" customHeight="1" x14ac:dyDescent="0.2">
      <c r="A770" s="22">
        <v>44210</v>
      </c>
      <c r="B770" s="23" t="s">
        <v>51</v>
      </c>
      <c r="C770" s="23">
        <v>8.6749999999999994E-2</v>
      </c>
      <c r="D770" s="23">
        <v>9.8250000000000004E-2</v>
      </c>
      <c r="E770" s="23">
        <v>0.12887999999999999</v>
      </c>
      <c r="F770" s="23">
        <v>0.17113</v>
      </c>
      <c r="G770" s="23">
        <v>0.22563</v>
      </c>
      <c r="H770" s="23">
        <v>0.25124999999999997</v>
      </c>
      <c r="I770" s="23">
        <v>0.32574999999999998</v>
      </c>
    </row>
    <row r="771" spans="1:9" s="21" customFormat="1" ht="20.100000000000001" customHeight="1" x14ac:dyDescent="0.2">
      <c r="A771" s="22">
        <v>44211</v>
      </c>
      <c r="B771" s="23" t="s">
        <v>52</v>
      </c>
      <c r="C771" s="23">
        <v>8.6629999999999999E-2</v>
      </c>
      <c r="D771" s="23">
        <v>0.10063</v>
      </c>
      <c r="E771" s="23">
        <v>0.1295</v>
      </c>
      <c r="F771" s="23">
        <v>0.16588</v>
      </c>
      <c r="G771" s="23">
        <v>0.22338</v>
      </c>
      <c r="H771" s="23">
        <v>0.24812999999999999</v>
      </c>
      <c r="I771" s="23">
        <v>0.32262999999999997</v>
      </c>
    </row>
    <row r="772" spans="1:9" s="21" customFormat="1" ht="20.100000000000001" customHeight="1" x14ac:dyDescent="0.2">
      <c r="A772" s="22">
        <v>44214</v>
      </c>
      <c r="B772" s="23" t="s">
        <v>53</v>
      </c>
      <c r="C772" s="23"/>
      <c r="D772" s="23">
        <v>0.10050000000000001</v>
      </c>
      <c r="E772" s="23">
        <v>0.13088</v>
      </c>
      <c r="F772" s="23">
        <v>0.17013</v>
      </c>
      <c r="G772" s="23">
        <v>0.224</v>
      </c>
      <c r="H772" s="23">
        <v>0.23574999999999999</v>
      </c>
      <c r="I772" s="23">
        <v>0.31237999999999999</v>
      </c>
    </row>
    <row r="773" spans="1:9" s="21" customFormat="1" ht="20.100000000000001" customHeight="1" x14ac:dyDescent="0.2">
      <c r="A773" s="22">
        <v>44215</v>
      </c>
      <c r="B773" s="23" t="s">
        <v>49</v>
      </c>
      <c r="C773" s="23">
        <v>8.5129999999999997E-2</v>
      </c>
      <c r="D773" s="23">
        <v>9.8629999999999995E-2</v>
      </c>
      <c r="E773" s="23">
        <v>0.1295</v>
      </c>
      <c r="F773" s="23">
        <v>0.16613</v>
      </c>
      <c r="G773" s="23">
        <v>0.22363</v>
      </c>
      <c r="H773" s="23">
        <v>0.23588000000000001</v>
      </c>
      <c r="I773" s="23">
        <v>0.313</v>
      </c>
    </row>
    <row r="774" spans="1:9" s="21" customFormat="1" ht="20.100000000000001" customHeight="1" x14ac:dyDescent="0.2">
      <c r="A774" s="22">
        <v>44216</v>
      </c>
      <c r="B774" s="23" t="s">
        <v>50</v>
      </c>
      <c r="C774" s="23">
        <v>8.6629999999999999E-2</v>
      </c>
      <c r="D774" s="23">
        <v>0.10063</v>
      </c>
      <c r="E774" s="23">
        <v>0.1285</v>
      </c>
      <c r="F774" s="23">
        <v>0.16938</v>
      </c>
      <c r="G774" s="23">
        <v>0.22237999999999999</v>
      </c>
      <c r="H774" s="23">
        <v>0.23788000000000001</v>
      </c>
      <c r="I774" s="23">
        <v>0.31724999999999998</v>
      </c>
    </row>
    <row r="775" spans="1:9" s="21" customFormat="1" ht="20.100000000000001" customHeight="1" x14ac:dyDescent="0.2">
      <c r="A775" s="22">
        <v>44217</v>
      </c>
      <c r="B775" s="23" t="s">
        <v>51</v>
      </c>
      <c r="C775" s="23">
        <v>8.6999999999999994E-2</v>
      </c>
      <c r="D775" s="23">
        <v>9.7000000000000003E-2</v>
      </c>
      <c r="E775" s="23">
        <v>0.13</v>
      </c>
      <c r="F775" s="23">
        <v>0.16550000000000001</v>
      </c>
      <c r="G775" s="23">
        <v>0.21775</v>
      </c>
      <c r="H775" s="23">
        <v>0.23449999999999999</v>
      </c>
      <c r="I775" s="23">
        <v>0.31537999999999999</v>
      </c>
    </row>
    <row r="776" spans="1:9" s="21" customFormat="1" ht="20.100000000000001" customHeight="1" x14ac:dyDescent="0.2">
      <c r="A776" s="22">
        <v>44218</v>
      </c>
      <c r="B776" s="23" t="s">
        <v>52</v>
      </c>
      <c r="C776" s="23">
        <v>8.6249999999999993E-2</v>
      </c>
      <c r="D776" s="23">
        <v>9.8129999999999995E-2</v>
      </c>
      <c r="E776" s="23">
        <v>0.12475</v>
      </c>
      <c r="F776" s="23">
        <v>0.16037999999999999</v>
      </c>
      <c r="G776" s="23">
        <v>0.21525</v>
      </c>
      <c r="H776" s="23">
        <v>0.23599999999999999</v>
      </c>
      <c r="I776" s="23">
        <v>0.31225000000000003</v>
      </c>
    </row>
    <row r="777" spans="1:9" s="21" customFormat="1" ht="20.100000000000001" customHeight="1" x14ac:dyDescent="0.2">
      <c r="A777" s="22">
        <v>44221</v>
      </c>
      <c r="B777" s="23" t="s">
        <v>53</v>
      </c>
      <c r="C777" s="23">
        <v>8.4629999999999997E-2</v>
      </c>
      <c r="D777" s="23">
        <v>9.6879999999999994E-2</v>
      </c>
      <c r="E777" s="23">
        <v>0.1275</v>
      </c>
      <c r="F777" s="23">
        <v>0.15825</v>
      </c>
      <c r="G777" s="23">
        <v>0.21288000000000001</v>
      </c>
      <c r="H777" s="23">
        <v>0.23300000000000001</v>
      </c>
      <c r="I777" s="23">
        <v>0.31225000000000003</v>
      </c>
    </row>
    <row r="778" spans="1:9" s="21" customFormat="1" ht="20.100000000000001" customHeight="1" x14ac:dyDescent="0.2">
      <c r="A778" s="22">
        <v>44222</v>
      </c>
      <c r="B778" s="23" t="s">
        <v>49</v>
      </c>
      <c r="C778" s="23">
        <v>8.3750000000000005E-2</v>
      </c>
      <c r="D778" s="23">
        <v>9.1630000000000003E-2</v>
      </c>
      <c r="E778" s="23">
        <v>0.1225</v>
      </c>
      <c r="F778" s="23">
        <v>0.15762999999999999</v>
      </c>
      <c r="G778" s="23">
        <v>0.2185</v>
      </c>
      <c r="H778" s="23">
        <v>0.23449999999999999</v>
      </c>
      <c r="I778" s="23">
        <v>0.3115</v>
      </c>
    </row>
    <row r="779" spans="1:9" s="21" customFormat="1" ht="20.100000000000001" customHeight="1" x14ac:dyDescent="0.2">
      <c r="A779" s="22">
        <v>44223</v>
      </c>
      <c r="B779" s="23" t="s">
        <v>50</v>
      </c>
      <c r="C779" s="23">
        <v>8.2879999999999995E-2</v>
      </c>
      <c r="D779" s="23">
        <v>9.9750000000000005E-2</v>
      </c>
      <c r="E779" s="23">
        <v>0.12075</v>
      </c>
      <c r="F779" s="23">
        <v>0.1585</v>
      </c>
      <c r="G779" s="23">
        <v>0.21149999999999999</v>
      </c>
      <c r="H779" s="23">
        <v>0.22763</v>
      </c>
      <c r="I779" s="23">
        <v>0.312</v>
      </c>
    </row>
    <row r="780" spans="1:9" s="21" customFormat="1" ht="20.100000000000001" customHeight="1" x14ac:dyDescent="0.2">
      <c r="A780" s="22">
        <v>44224</v>
      </c>
      <c r="B780" s="23" t="s">
        <v>51</v>
      </c>
      <c r="C780" s="23">
        <v>7.9250000000000001E-2</v>
      </c>
      <c r="D780" s="23">
        <v>9.1749999999999998E-2</v>
      </c>
      <c r="E780" s="23">
        <v>0.12288</v>
      </c>
      <c r="F780" s="23">
        <v>0.16388</v>
      </c>
      <c r="G780" s="23">
        <v>0.20499999999999999</v>
      </c>
      <c r="H780" s="23">
        <v>0.22012999999999999</v>
      </c>
      <c r="I780" s="23">
        <v>0.31075000000000003</v>
      </c>
    </row>
    <row r="781" spans="1:9" s="21" customFormat="1" ht="20.100000000000001" customHeight="1" x14ac:dyDescent="0.2">
      <c r="A781" s="22">
        <v>44225</v>
      </c>
      <c r="B781" s="23" t="s">
        <v>52</v>
      </c>
      <c r="C781" s="23">
        <v>7.8750000000000001E-2</v>
      </c>
      <c r="D781" s="23">
        <v>9.3380000000000005E-2</v>
      </c>
      <c r="E781" s="23">
        <v>0.1195</v>
      </c>
      <c r="F781" s="23">
        <v>0.16063</v>
      </c>
      <c r="G781" s="23">
        <v>0.20188</v>
      </c>
      <c r="H781" s="23">
        <v>0.22325</v>
      </c>
      <c r="I781" s="23">
        <v>0.31113000000000002</v>
      </c>
    </row>
    <row r="782" spans="1:9" s="21" customFormat="1" ht="20.100000000000001" customHeight="1" x14ac:dyDescent="0.2">
      <c r="A782" s="22">
        <v>44228</v>
      </c>
      <c r="B782" s="23" t="s">
        <v>53</v>
      </c>
      <c r="C782" s="23">
        <v>7.9250000000000001E-2</v>
      </c>
      <c r="D782" s="23">
        <v>8.3129999999999996E-2</v>
      </c>
      <c r="E782" s="23">
        <v>0.113</v>
      </c>
      <c r="F782" s="23">
        <v>0.15225</v>
      </c>
      <c r="G782" s="23">
        <v>0.19550000000000001</v>
      </c>
      <c r="H782" s="23">
        <v>0.215</v>
      </c>
      <c r="I782" s="23">
        <v>0.30549999999999999</v>
      </c>
    </row>
    <row r="783" spans="1:9" s="21" customFormat="1" ht="20.100000000000001" customHeight="1" x14ac:dyDescent="0.2">
      <c r="A783" s="22">
        <v>44229</v>
      </c>
      <c r="B783" s="23" t="s">
        <v>49</v>
      </c>
      <c r="C783" s="23">
        <v>8.1129999999999994E-2</v>
      </c>
      <c r="D783" s="23">
        <v>8.5000000000000006E-2</v>
      </c>
      <c r="E783" s="23">
        <v>0.11525000000000001</v>
      </c>
      <c r="F783" s="23">
        <v>0.15537999999999999</v>
      </c>
      <c r="G783" s="23">
        <v>0.19225</v>
      </c>
      <c r="H783" s="23">
        <v>0.21712999999999999</v>
      </c>
      <c r="I783" s="23">
        <v>0.30413000000000001</v>
      </c>
    </row>
    <row r="784" spans="1:9" s="21" customFormat="1" ht="20.100000000000001" customHeight="1" x14ac:dyDescent="0.2">
      <c r="A784" s="22">
        <v>44230</v>
      </c>
      <c r="B784" s="23" t="s">
        <v>50</v>
      </c>
      <c r="C784" s="23">
        <v>8.2879999999999995E-2</v>
      </c>
      <c r="D784" s="23">
        <v>9.5000000000000001E-2</v>
      </c>
      <c r="E784" s="23">
        <v>0.11325</v>
      </c>
      <c r="F784" s="23">
        <v>0.16063</v>
      </c>
      <c r="G784" s="23">
        <v>0.19513</v>
      </c>
      <c r="H784" s="23">
        <v>0.22375</v>
      </c>
      <c r="I784" s="23">
        <v>0.30599999999999999</v>
      </c>
    </row>
    <row r="785" spans="1:9" s="21" customFormat="1" ht="20.100000000000001" customHeight="1" x14ac:dyDescent="0.2">
      <c r="A785" s="22">
        <v>44231</v>
      </c>
      <c r="B785" s="23" t="s">
        <v>51</v>
      </c>
      <c r="C785" s="23">
        <v>8.3000000000000004E-2</v>
      </c>
      <c r="D785" s="23">
        <v>9.5630000000000007E-2</v>
      </c>
      <c r="E785" s="23">
        <v>0.1235</v>
      </c>
      <c r="F785" s="23">
        <v>0.1565</v>
      </c>
      <c r="G785" s="23">
        <v>0.19263</v>
      </c>
      <c r="H785" s="23">
        <v>0.2225</v>
      </c>
      <c r="I785" s="23">
        <v>0.30599999999999999</v>
      </c>
    </row>
    <row r="786" spans="1:9" s="21" customFormat="1" ht="20.100000000000001" customHeight="1" x14ac:dyDescent="0.2">
      <c r="A786" s="22">
        <v>44232</v>
      </c>
      <c r="B786" s="23" t="s">
        <v>52</v>
      </c>
      <c r="C786" s="23">
        <v>8.2879999999999995E-2</v>
      </c>
      <c r="D786" s="23">
        <v>8.9130000000000001E-2</v>
      </c>
      <c r="E786" s="23">
        <v>0.11888</v>
      </c>
      <c r="F786" s="23">
        <v>0.15562999999999999</v>
      </c>
      <c r="G786" s="23">
        <v>0.19087999999999999</v>
      </c>
      <c r="H786" s="23">
        <v>0.20699999999999999</v>
      </c>
      <c r="I786" s="23">
        <v>0.30413000000000001</v>
      </c>
    </row>
    <row r="787" spans="1:9" s="21" customFormat="1" ht="20.100000000000001" customHeight="1" x14ac:dyDescent="0.2">
      <c r="A787" s="22">
        <v>44235</v>
      </c>
      <c r="B787" s="23" t="s">
        <v>53</v>
      </c>
      <c r="C787" s="23">
        <v>8.1250000000000003E-2</v>
      </c>
      <c r="D787" s="23">
        <v>8.1629999999999994E-2</v>
      </c>
      <c r="E787" s="23">
        <v>0.1205</v>
      </c>
      <c r="F787" s="23">
        <v>0.15587999999999999</v>
      </c>
      <c r="G787" s="23">
        <v>0.19538</v>
      </c>
      <c r="H787" s="23">
        <v>0.20749999999999999</v>
      </c>
      <c r="I787" s="23">
        <v>0.30637999999999999</v>
      </c>
    </row>
    <row r="788" spans="1:9" s="21" customFormat="1" ht="20.100000000000001" customHeight="1" x14ac:dyDescent="0.2">
      <c r="A788" s="22">
        <v>44236</v>
      </c>
      <c r="B788" s="23" t="s">
        <v>49</v>
      </c>
      <c r="C788" s="23">
        <v>7.9880000000000007E-2</v>
      </c>
      <c r="D788" s="23">
        <v>8.5379999999999998E-2</v>
      </c>
      <c r="E788" s="23">
        <v>0.11588</v>
      </c>
      <c r="F788" s="23">
        <v>0.1565</v>
      </c>
      <c r="G788" s="23">
        <v>0.20250000000000001</v>
      </c>
      <c r="H788" s="23">
        <v>0.20799999999999999</v>
      </c>
      <c r="I788" s="23">
        <v>0.30563000000000001</v>
      </c>
    </row>
    <row r="789" spans="1:9" s="21" customFormat="1" ht="20.100000000000001" customHeight="1" x14ac:dyDescent="0.2">
      <c r="A789" s="22">
        <v>44237</v>
      </c>
      <c r="B789" s="23" t="s">
        <v>50</v>
      </c>
      <c r="C789" s="23">
        <v>7.9880000000000007E-2</v>
      </c>
      <c r="D789" s="23">
        <v>9.0499999999999997E-2</v>
      </c>
      <c r="E789" s="23">
        <v>0.1095</v>
      </c>
      <c r="F789" s="23">
        <v>0.15362999999999999</v>
      </c>
      <c r="G789" s="23">
        <v>0.20088</v>
      </c>
      <c r="H789" s="23">
        <v>0.20799999999999999</v>
      </c>
      <c r="I789" s="23">
        <v>0.30513000000000001</v>
      </c>
    </row>
    <row r="790" spans="1:9" s="21" customFormat="1" ht="20.100000000000001" customHeight="1" x14ac:dyDescent="0.2">
      <c r="A790" s="22">
        <v>44238</v>
      </c>
      <c r="B790" s="23" t="s">
        <v>51</v>
      </c>
      <c r="C790" s="23">
        <v>7.9750000000000001E-2</v>
      </c>
      <c r="D790" s="23">
        <v>8.6629999999999999E-2</v>
      </c>
      <c r="E790" s="23">
        <v>0.11225</v>
      </c>
      <c r="F790" s="23">
        <v>0.15187999999999999</v>
      </c>
      <c r="G790" s="23">
        <v>0.19763</v>
      </c>
      <c r="H790" s="23">
        <v>0.20838000000000001</v>
      </c>
      <c r="I790" s="23">
        <v>0.30363000000000001</v>
      </c>
    </row>
    <row r="791" spans="1:9" s="21" customFormat="1" ht="20.100000000000001" customHeight="1" x14ac:dyDescent="0.2">
      <c r="A791" s="22">
        <v>44239</v>
      </c>
      <c r="B791" s="23" t="s">
        <v>52</v>
      </c>
      <c r="C791" s="23">
        <v>7.9630000000000006E-2</v>
      </c>
      <c r="D791" s="23">
        <v>9.1249999999999998E-2</v>
      </c>
      <c r="E791" s="23">
        <v>0.10738</v>
      </c>
      <c r="F791" s="23">
        <v>0.15075</v>
      </c>
      <c r="G791" s="23">
        <v>0.19375000000000001</v>
      </c>
      <c r="H791" s="23">
        <v>0.20075000000000001</v>
      </c>
      <c r="I791" s="23">
        <v>0.29975000000000002</v>
      </c>
    </row>
    <row r="792" spans="1:9" s="21" customFormat="1" ht="20.100000000000001" customHeight="1" x14ac:dyDescent="0.2">
      <c r="A792" s="22">
        <v>44242</v>
      </c>
      <c r="B792" s="23" t="s">
        <v>53</v>
      </c>
      <c r="C792" s="23"/>
      <c r="D792" s="23">
        <v>8.9749999999999996E-2</v>
      </c>
      <c r="E792" s="23">
        <v>0.10575</v>
      </c>
      <c r="F792" s="23">
        <v>0.15087999999999999</v>
      </c>
      <c r="G792" s="23">
        <v>0.1915</v>
      </c>
      <c r="H792" s="23">
        <v>0.20488000000000001</v>
      </c>
      <c r="I792" s="23">
        <v>0.30049999999999999</v>
      </c>
    </row>
    <row r="793" spans="1:9" s="21" customFormat="1" ht="20.100000000000001" customHeight="1" x14ac:dyDescent="0.2">
      <c r="A793" s="22">
        <v>44243</v>
      </c>
      <c r="B793" s="23" t="s">
        <v>49</v>
      </c>
      <c r="C793" s="23">
        <v>8.1500000000000003E-2</v>
      </c>
      <c r="D793" s="23">
        <v>8.6379999999999998E-2</v>
      </c>
      <c r="E793" s="23">
        <v>0.10825</v>
      </c>
      <c r="F793" s="23">
        <v>0.15375</v>
      </c>
      <c r="G793" s="23">
        <v>0.18862999999999999</v>
      </c>
      <c r="H793" s="23">
        <v>0.20263</v>
      </c>
      <c r="I793" s="23">
        <v>0.30263000000000001</v>
      </c>
    </row>
    <row r="794" spans="1:9" s="21" customFormat="1" ht="20.100000000000001" customHeight="1" x14ac:dyDescent="0.2">
      <c r="A794" s="22">
        <v>44244</v>
      </c>
      <c r="B794" s="23" t="s">
        <v>50</v>
      </c>
      <c r="C794" s="23">
        <v>8.0629999999999993E-2</v>
      </c>
      <c r="D794" s="23">
        <v>8.6499999999999994E-2</v>
      </c>
      <c r="E794" s="23">
        <v>0.111</v>
      </c>
      <c r="F794" s="23">
        <v>0.14813000000000001</v>
      </c>
      <c r="G794" s="23">
        <v>0.18138000000000001</v>
      </c>
      <c r="H794" s="23">
        <v>0.19775000000000001</v>
      </c>
      <c r="I794" s="23">
        <v>0.29613</v>
      </c>
    </row>
    <row r="795" spans="1:9" s="21" customFormat="1" ht="20.100000000000001" customHeight="1" x14ac:dyDescent="0.2">
      <c r="A795" s="22">
        <v>44245</v>
      </c>
      <c r="B795" s="23" t="s">
        <v>51</v>
      </c>
      <c r="C795" s="23">
        <v>8.0130000000000007E-2</v>
      </c>
      <c r="D795" s="23">
        <v>8.3250000000000005E-2</v>
      </c>
      <c r="E795" s="23">
        <v>0.11113000000000001</v>
      </c>
      <c r="F795" s="23">
        <v>0.15237999999999999</v>
      </c>
      <c r="G795" s="23">
        <v>0.18237999999999999</v>
      </c>
      <c r="H795" s="23">
        <v>0.19688</v>
      </c>
      <c r="I795" s="23">
        <v>0.29099999999999998</v>
      </c>
    </row>
    <row r="796" spans="1:9" s="21" customFormat="1" ht="20.100000000000001" customHeight="1" x14ac:dyDescent="0.2">
      <c r="A796" s="22">
        <v>44246</v>
      </c>
      <c r="B796" s="23" t="s">
        <v>52</v>
      </c>
      <c r="C796" s="23">
        <v>7.8130000000000005E-2</v>
      </c>
      <c r="D796" s="23">
        <v>8.8499999999999995E-2</v>
      </c>
      <c r="E796" s="23">
        <v>0.11550000000000001</v>
      </c>
      <c r="F796" s="23">
        <v>0.14849999999999999</v>
      </c>
      <c r="G796" s="23">
        <v>0.17524999999999999</v>
      </c>
      <c r="H796" s="23">
        <v>0.19500000000000001</v>
      </c>
      <c r="I796" s="23">
        <v>0.28649999999999998</v>
      </c>
    </row>
    <row r="797" spans="1:9" s="21" customFormat="1" ht="20.100000000000001" customHeight="1" x14ac:dyDescent="0.2">
      <c r="A797" s="22">
        <v>44249</v>
      </c>
      <c r="B797" s="23" t="s">
        <v>53</v>
      </c>
      <c r="C797" s="23">
        <v>8.1250000000000003E-2</v>
      </c>
      <c r="D797" s="23">
        <v>8.9880000000000002E-2</v>
      </c>
      <c r="E797" s="23">
        <v>0.11488</v>
      </c>
      <c r="F797" s="23">
        <v>0.14813000000000001</v>
      </c>
      <c r="G797" s="23">
        <v>0.17549999999999999</v>
      </c>
      <c r="H797" s="23">
        <v>0.20399999999999999</v>
      </c>
      <c r="I797" s="23">
        <v>0.28549999999999998</v>
      </c>
    </row>
    <row r="798" spans="1:9" s="21" customFormat="1" ht="20.100000000000001" customHeight="1" x14ac:dyDescent="0.2">
      <c r="A798" s="22">
        <v>44250</v>
      </c>
      <c r="B798" s="23" t="s">
        <v>49</v>
      </c>
      <c r="C798" s="23">
        <v>8.0500000000000002E-2</v>
      </c>
      <c r="D798" s="23">
        <v>9.0249999999999997E-2</v>
      </c>
      <c r="E798" s="23">
        <v>0.11763</v>
      </c>
      <c r="F798" s="23">
        <v>0.15212999999999999</v>
      </c>
      <c r="G798" s="23">
        <v>0.1875</v>
      </c>
      <c r="H798" s="23">
        <v>0.20374999999999999</v>
      </c>
      <c r="I798" s="23">
        <v>0.28462999999999999</v>
      </c>
    </row>
    <row r="799" spans="1:9" s="21" customFormat="1" ht="20.100000000000001" customHeight="1" x14ac:dyDescent="0.2">
      <c r="A799" s="22">
        <v>44251</v>
      </c>
      <c r="B799" s="23" t="s">
        <v>50</v>
      </c>
      <c r="C799" s="23">
        <v>8.0130000000000007E-2</v>
      </c>
      <c r="D799" s="23">
        <v>9.2749999999999999E-2</v>
      </c>
      <c r="E799" s="23">
        <v>0.1145</v>
      </c>
      <c r="F799" s="23">
        <v>0.15013000000000001</v>
      </c>
      <c r="G799" s="23">
        <v>0.18975</v>
      </c>
      <c r="H799" s="23">
        <v>0.19938</v>
      </c>
      <c r="I799" s="23">
        <v>0.27800000000000002</v>
      </c>
    </row>
    <row r="800" spans="1:9" s="21" customFormat="1" ht="20.100000000000001" customHeight="1" x14ac:dyDescent="0.2">
      <c r="A800" s="22">
        <v>44252</v>
      </c>
      <c r="B800" s="23" t="s">
        <v>51</v>
      </c>
      <c r="C800" s="23">
        <v>8.0379999999999993E-2</v>
      </c>
      <c r="D800" s="23">
        <v>8.3629999999999996E-2</v>
      </c>
      <c r="E800" s="23">
        <v>0.11513</v>
      </c>
      <c r="F800" s="23">
        <v>0.14949999999999999</v>
      </c>
      <c r="G800" s="23">
        <v>0.1905</v>
      </c>
      <c r="H800" s="23">
        <v>0.20063</v>
      </c>
      <c r="I800" s="23">
        <v>0.28025</v>
      </c>
    </row>
    <row r="801" spans="1:9" s="21" customFormat="1" ht="20.100000000000001" customHeight="1" x14ac:dyDescent="0.2">
      <c r="A801" s="22">
        <v>44253</v>
      </c>
      <c r="B801" s="23" t="s">
        <v>52</v>
      </c>
      <c r="C801" s="23">
        <v>8.4000000000000005E-2</v>
      </c>
      <c r="D801" s="23">
        <v>8.8999999999999996E-2</v>
      </c>
      <c r="E801" s="23">
        <v>0.11849999999999999</v>
      </c>
      <c r="F801" s="23">
        <v>0.14749999999999999</v>
      </c>
      <c r="G801" s="23">
        <v>0.18837999999999999</v>
      </c>
      <c r="H801" s="23">
        <v>0.20300000000000001</v>
      </c>
      <c r="I801" s="23">
        <v>0.28375</v>
      </c>
    </row>
    <row r="802" spans="1:9" s="21" customFormat="1" ht="20.100000000000001" customHeight="1" x14ac:dyDescent="0.2">
      <c r="A802" s="22">
        <v>44256</v>
      </c>
      <c r="B802" s="23" t="s">
        <v>53</v>
      </c>
      <c r="C802" s="23">
        <v>7.9500000000000001E-2</v>
      </c>
      <c r="D802" s="23">
        <v>8.6249999999999993E-2</v>
      </c>
      <c r="E802" s="23">
        <v>0.10925</v>
      </c>
      <c r="F802" s="23">
        <v>0.14449999999999999</v>
      </c>
      <c r="G802" s="23">
        <v>0.18425</v>
      </c>
      <c r="H802" s="23">
        <v>0.20050000000000001</v>
      </c>
      <c r="I802" s="23">
        <v>0.28362999999999999</v>
      </c>
    </row>
    <row r="803" spans="1:9" s="21" customFormat="1" ht="20.100000000000001" customHeight="1" x14ac:dyDescent="0.2">
      <c r="A803" s="22">
        <v>44257</v>
      </c>
      <c r="B803" s="23" t="s">
        <v>49</v>
      </c>
      <c r="C803" s="23">
        <v>7.8880000000000006E-2</v>
      </c>
      <c r="D803" s="23">
        <v>8.4629999999999997E-2</v>
      </c>
      <c r="E803" s="23">
        <v>0.10838</v>
      </c>
      <c r="F803" s="23">
        <v>0.14813000000000001</v>
      </c>
      <c r="G803" s="23">
        <v>0.18337999999999999</v>
      </c>
      <c r="H803" s="23">
        <v>0.20674999999999999</v>
      </c>
      <c r="I803" s="23">
        <v>0.27900000000000003</v>
      </c>
    </row>
    <row r="804" spans="1:9" s="21" customFormat="1" ht="20.100000000000001" customHeight="1" x14ac:dyDescent="0.2">
      <c r="A804" s="22">
        <v>44258</v>
      </c>
      <c r="B804" s="23" t="s">
        <v>50</v>
      </c>
      <c r="C804" s="23">
        <v>7.85E-2</v>
      </c>
      <c r="D804" s="23">
        <v>9.0380000000000002E-2</v>
      </c>
      <c r="E804" s="23">
        <v>0.10299999999999999</v>
      </c>
      <c r="F804" s="23">
        <v>0.14649999999999999</v>
      </c>
      <c r="G804" s="23">
        <v>0.19375000000000001</v>
      </c>
      <c r="H804" s="23">
        <v>0.21099999999999999</v>
      </c>
      <c r="I804" s="23">
        <v>0.28199999999999997</v>
      </c>
    </row>
    <row r="805" spans="1:9" s="21" customFormat="1" ht="20.100000000000001" customHeight="1" x14ac:dyDescent="0.2">
      <c r="A805" s="22">
        <v>44259</v>
      </c>
      <c r="B805" s="23" t="s">
        <v>51</v>
      </c>
      <c r="C805" s="23">
        <v>7.8130000000000005E-2</v>
      </c>
      <c r="D805" s="23">
        <v>8.6379999999999998E-2</v>
      </c>
      <c r="E805" s="23">
        <v>0.10349999999999999</v>
      </c>
      <c r="F805" s="23">
        <v>0.14538000000000001</v>
      </c>
      <c r="G805" s="23">
        <v>0.17549999999999999</v>
      </c>
      <c r="H805" s="23">
        <v>0.20324999999999999</v>
      </c>
      <c r="I805" s="23">
        <v>0.28375</v>
      </c>
    </row>
    <row r="806" spans="1:9" s="21" customFormat="1" ht="20.100000000000001" customHeight="1" x14ac:dyDescent="0.2">
      <c r="A806" s="22">
        <v>44260</v>
      </c>
      <c r="B806" s="23" t="s">
        <v>52</v>
      </c>
      <c r="C806" s="23">
        <v>7.7630000000000005E-2</v>
      </c>
      <c r="D806" s="23">
        <v>8.813E-2</v>
      </c>
      <c r="E806" s="23">
        <v>0.10324999999999999</v>
      </c>
      <c r="F806" s="23">
        <v>0.14613000000000001</v>
      </c>
      <c r="G806" s="23">
        <v>0.18537999999999999</v>
      </c>
      <c r="H806" s="23">
        <v>0.19588</v>
      </c>
      <c r="I806" s="23">
        <v>0.27775</v>
      </c>
    </row>
    <row r="807" spans="1:9" s="21" customFormat="1" ht="20.100000000000001" customHeight="1" x14ac:dyDescent="0.2">
      <c r="A807" s="22">
        <v>44263</v>
      </c>
      <c r="B807" s="23" t="s">
        <v>53</v>
      </c>
      <c r="C807" s="23">
        <v>7.7630000000000005E-2</v>
      </c>
      <c r="D807" s="23">
        <v>8.5129999999999997E-2</v>
      </c>
      <c r="E807" s="23">
        <v>0.106</v>
      </c>
      <c r="F807" s="23">
        <v>0.14088000000000001</v>
      </c>
      <c r="G807" s="23">
        <v>0.1825</v>
      </c>
      <c r="H807" s="23">
        <v>0.19625000000000001</v>
      </c>
      <c r="I807" s="23">
        <v>0.28025</v>
      </c>
    </row>
    <row r="808" spans="1:9" s="21" customFormat="1" ht="20.100000000000001" customHeight="1" x14ac:dyDescent="0.2">
      <c r="A808" s="22">
        <v>44264</v>
      </c>
      <c r="B808" s="23" t="s">
        <v>49</v>
      </c>
      <c r="C808" s="23">
        <v>7.7130000000000004E-2</v>
      </c>
      <c r="D808" s="23">
        <v>8.813E-2</v>
      </c>
      <c r="E808" s="23">
        <v>0.10713</v>
      </c>
      <c r="F808" s="23">
        <v>0.14174999999999999</v>
      </c>
      <c r="G808" s="23">
        <v>0.17724999999999999</v>
      </c>
      <c r="H808" s="23">
        <v>0.1895</v>
      </c>
      <c r="I808" s="23">
        <v>0.27962999999999999</v>
      </c>
    </row>
    <row r="809" spans="1:9" s="21" customFormat="1" ht="20.100000000000001" customHeight="1" x14ac:dyDescent="0.2">
      <c r="A809" s="22">
        <v>44265</v>
      </c>
      <c r="B809" s="23" t="s">
        <v>50</v>
      </c>
      <c r="C809" s="23">
        <v>7.7249999999999999E-2</v>
      </c>
      <c r="D809" s="23">
        <v>8.6629999999999999E-2</v>
      </c>
      <c r="E809" s="23">
        <v>0.10588</v>
      </c>
      <c r="F809" s="23">
        <v>0.14274999999999999</v>
      </c>
      <c r="G809" s="23">
        <v>0.18412999999999999</v>
      </c>
      <c r="H809" s="23">
        <v>0.19363</v>
      </c>
      <c r="I809" s="23">
        <v>0.27862999999999999</v>
      </c>
    </row>
    <row r="810" spans="1:9" s="21" customFormat="1" ht="20.100000000000001" customHeight="1" x14ac:dyDescent="0.2">
      <c r="A810" s="22">
        <v>44266</v>
      </c>
      <c r="B810" s="23" t="s">
        <v>51</v>
      </c>
      <c r="C810" s="23">
        <v>7.8130000000000005E-2</v>
      </c>
      <c r="D810" s="23">
        <v>8.4379999999999997E-2</v>
      </c>
      <c r="E810" s="23">
        <v>0.106</v>
      </c>
      <c r="F810" s="23">
        <v>0.13725000000000001</v>
      </c>
      <c r="G810" s="23">
        <v>0.18387999999999999</v>
      </c>
      <c r="H810" s="23">
        <v>0.19275</v>
      </c>
      <c r="I810" s="23">
        <v>0.27725</v>
      </c>
    </row>
    <row r="811" spans="1:9" s="21" customFormat="1" ht="20.100000000000001" customHeight="1" x14ac:dyDescent="0.2">
      <c r="A811" s="22">
        <v>44267</v>
      </c>
      <c r="B811" s="23" t="s">
        <v>52</v>
      </c>
      <c r="C811" s="23">
        <v>7.8130000000000005E-2</v>
      </c>
      <c r="D811" s="23">
        <v>8.4379999999999997E-2</v>
      </c>
      <c r="E811" s="23">
        <v>0.10613</v>
      </c>
      <c r="F811" s="23">
        <v>0.13675000000000001</v>
      </c>
      <c r="G811" s="23">
        <v>0.1895</v>
      </c>
      <c r="H811" s="23">
        <v>0.19400000000000001</v>
      </c>
      <c r="I811" s="23">
        <v>0.27812999999999999</v>
      </c>
    </row>
    <row r="812" spans="1:9" s="21" customFormat="1" ht="20.100000000000001" customHeight="1" x14ac:dyDescent="0.2">
      <c r="A812" s="22">
        <v>44270</v>
      </c>
      <c r="B812" s="23" t="s">
        <v>53</v>
      </c>
      <c r="C812" s="23">
        <v>7.8E-2</v>
      </c>
      <c r="D812" s="23">
        <v>8.9630000000000001E-2</v>
      </c>
      <c r="E812" s="23">
        <v>0.1075</v>
      </c>
      <c r="F812" s="23">
        <v>0.13800000000000001</v>
      </c>
      <c r="G812" s="23">
        <v>0.182</v>
      </c>
      <c r="H812" s="23">
        <v>0.19750000000000001</v>
      </c>
      <c r="I812" s="23">
        <v>0.28100000000000003</v>
      </c>
    </row>
    <row r="813" spans="1:9" s="21" customFormat="1" ht="20.100000000000001" customHeight="1" x14ac:dyDescent="0.2">
      <c r="A813" s="22">
        <v>44271</v>
      </c>
      <c r="B813" s="23" t="s">
        <v>49</v>
      </c>
      <c r="C813" s="23">
        <v>7.85E-2</v>
      </c>
      <c r="D813" s="23">
        <v>8.4879999999999997E-2</v>
      </c>
      <c r="E813" s="23">
        <v>0.10813</v>
      </c>
      <c r="F813" s="23">
        <v>0.14025000000000001</v>
      </c>
      <c r="G813" s="23">
        <v>0.19</v>
      </c>
      <c r="H813" s="23">
        <v>0.19788</v>
      </c>
      <c r="I813" s="23">
        <v>0.28075</v>
      </c>
    </row>
    <row r="814" spans="1:9" s="21" customFormat="1" ht="20.100000000000001" customHeight="1" x14ac:dyDescent="0.2">
      <c r="A814" s="22">
        <v>44272</v>
      </c>
      <c r="B814" s="23" t="s">
        <v>50</v>
      </c>
      <c r="C814" s="23">
        <v>7.8E-2</v>
      </c>
      <c r="D814" s="23">
        <v>8.8749999999999996E-2</v>
      </c>
      <c r="E814" s="23">
        <v>0.11025</v>
      </c>
      <c r="F814" s="23">
        <v>0.14563000000000001</v>
      </c>
      <c r="G814" s="23">
        <v>0.18962999999999999</v>
      </c>
      <c r="H814" s="23">
        <v>0.20300000000000001</v>
      </c>
      <c r="I814" s="23">
        <v>0.28088000000000002</v>
      </c>
    </row>
    <row r="815" spans="1:9" s="21" customFormat="1" ht="20.100000000000001" customHeight="1" x14ac:dyDescent="0.2">
      <c r="A815" s="22">
        <v>44273</v>
      </c>
      <c r="B815" s="23" t="s">
        <v>51</v>
      </c>
      <c r="C815" s="23">
        <v>7.8750000000000001E-2</v>
      </c>
      <c r="D815" s="23">
        <v>8.1879999999999994E-2</v>
      </c>
      <c r="E815" s="23">
        <v>0.11088000000000001</v>
      </c>
      <c r="F815" s="23">
        <v>0.14688000000000001</v>
      </c>
      <c r="G815" s="23">
        <v>0.18662999999999999</v>
      </c>
      <c r="H815" s="23">
        <v>0.20388000000000001</v>
      </c>
      <c r="I815" s="23">
        <v>0.27588000000000001</v>
      </c>
    </row>
    <row r="816" spans="1:9" s="21" customFormat="1" ht="20.100000000000001" customHeight="1" x14ac:dyDescent="0.2">
      <c r="A816" s="22">
        <v>44274</v>
      </c>
      <c r="B816" s="23" t="s">
        <v>52</v>
      </c>
      <c r="C816" s="23">
        <v>7.6880000000000004E-2</v>
      </c>
      <c r="D816" s="23">
        <v>8.1250000000000003E-2</v>
      </c>
      <c r="E816" s="23">
        <v>0.10838</v>
      </c>
      <c r="F816" s="23">
        <v>0.14838000000000001</v>
      </c>
      <c r="G816" s="23">
        <v>0.19688</v>
      </c>
      <c r="H816" s="23">
        <v>0.20238</v>
      </c>
      <c r="I816" s="23">
        <v>0.27625</v>
      </c>
    </row>
    <row r="817" spans="1:9" s="21" customFormat="1" ht="20.100000000000001" customHeight="1" x14ac:dyDescent="0.2">
      <c r="A817" s="22">
        <v>44277</v>
      </c>
      <c r="B817" s="23" t="s">
        <v>53</v>
      </c>
      <c r="C817" s="23">
        <v>7.6630000000000004E-2</v>
      </c>
      <c r="D817" s="23">
        <v>7.9130000000000006E-2</v>
      </c>
      <c r="E817" s="23">
        <v>0.10738</v>
      </c>
      <c r="F817" s="23">
        <v>0.14113000000000001</v>
      </c>
      <c r="G817" s="23">
        <v>0.1905</v>
      </c>
      <c r="H817" s="23">
        <v>0.20413000000000001</v>
      </c>
      <c r="I817" s="23">
        <v>0.27625</v>
      </c>
    </row>
    <row r="818" spans="1:9" s="21" customFormat="1" ht="20.100000000000001" customHeight="1" x14ac:dyDescent="0.2">
      <c r="A818" s="22">
        <v>44278</v>
      </c>
      <c r="B818" s="23" t="s">
        <v>49</v>
      </c>
      <c r="C818" s="23">
        <v>7.6880000000000004E-2</v>
      </c>
      <c r="D818" s="23">
        <v>8.0879999999999994E-2</v>
      </c>
      <c r="E818" s="23">
        <v>0.10863</v>
      </c>
      <c r="F818" s="23">
        <v>0.13400000000000001</v>
      </c>
      <c r="G818" s="23">
        <v>0.20063</v>
      </c>
      <c r="H818" s="23">
        <v>0.20538000000000001</v>
      </c>
      <c r="I818" s="23">
        <v>0.27938000000000002</v>
      </c>
    </row>
    <row r="819" spans="1:9" s="21" customFormat="1" ht="20.100000000000001" customHeight="1" x14ac:dyDescent="0.2">
      <c r="A819" s="22">
        <v>44279</v>
      </c>
      <c r="B819" s="23" t="s">
        <v>50</v>
      </c>
      <c r="C819" s="23">
        <v>7.6380000000000003E-2</v>
      </c>
      <c r="D819" s="23">
        <v>9.1630000000000003E-2</v>
      </c>
      <c r="E819" s="23">
        <v>0.11025</v>
      </c>
      <c r="F819" s="23">
        <v>0.13363</v>
      </c>
      <c r="G819" s="23">
        <v>0.19513</v>
      </c>
      <c r="H819" s="23">
        <v>0.20949999999999999</v>
      </c>
      <c r="I819" s="23">
        <v>0.28000000000000003</v>
      </c>
    </row>
    <row r="820" spans="1:9" s="21" customFormat="1" ht="20.100000000000001" customHeight="1" x14ac:dyDescent="0.2">
      <c r="A820" s="22">
        <v>44280</v>
      </c>
      <c r="B820" s="23" t="s">
        <v>51</v>
      </c>
      <c r="C820" s="23">
        <v>7.5499999999999998E-2</v>
      </c>
      <c r="D820" s="23">
        <v>8.4879999999999997E-2</v>
      </c>
      <c r="E820" s="23">
        <v>0.10913</v>
      </c>
      <c r="F820" s="23">
        <v>0.13775000000000001</v>
      </c>
      <c r="G820" s="23">
        <v>0.193</v>
      </c>
      <c r="H820" s="23">
        <v>0.20388000000000001</v>
      </c>
      <c r="I820" s="23">
        <v>0.28075</v>
      </c>
    </row>
    <row r="821" spans="1:9" s="21" customFormat="1" ht="20.100000000000001" customHeight="1" x14ac:dyDescent="0.2">
      <c r="A821" s="22">
        <v>44281</v>
      </c>
      <c r="B821" s="23" t="s">
        <v>52</v>
      </c>
      <c r="C821" s="23">
        <v>7.3380000000000001E-2</v>
      </c>
      <c r="D821" s="23">
        <v>8.4629999999999997E-2</v>
      </c>
      <c r="E821" s="23">
        <v>0.10725</v>
      </c>
      <c r="F821" s="23">
        <v>0.13738</v>
      </c>
      <c r="G821" s="23">
        <v>0.19900000000000001</v>
      </c>
      <c r="H821" s="23">
        <v>0.20324999999999999</v>
      </c>
      <c r="I821" s="23">
        <v>0.28075</v>
      </c>
    </row>
    <row r="822" spans="1:9" s="21" customFormat="1" ht="20.100000000000001" customHeight="1" x14ac:dyDescent="0.2">
      <c r="A822" s="22">
        <v>44284</v>
      </c>
      <c r="B822" s="23" t="s">
        <v>53</v>
      </c>
      <c r="C822" s="23">
        <v>7.288E-2</v>
      </c>
      <c r="D822" s="23">
        <v>8.1879999999999994E-2</v>
      </c>
      <c r="E822" s="23">
        <v>0.1085</v>
      </c>
      <c r="F822" s="23">
        <v>0.13500000000000001</v>
      </c>
      <c r="G822" s="23">
        <v>0.20250000000000001</v>
      </c>
      <c r="H822" s="23">
        <v>0.20288</v>
      </c>
      <c r="I822" s="23">
        <v>0.28149999999999997</v>
      </c>
    </row>
    <row r="823" spans="1:9" s="21" customFormat="1" ht="20.100000000000001" customHeight="1" x14ac:dyDescent="0.2">
      <c r="A823" s="22">
        <v>44285</v>
      </c>
      <c r="B823" s="23" t="s">
        <v>49</v>
      </c>
      <c r="C823" s="23">
        <v>7.6999999999999999E-2</v>
      </c>
      <c r="D823" s="23">
        <v>8.6249999999999993E-2</v>
      </c>
      <c r="E823" s="23">
        <v>0.11513</v>
      </c>
      <c r="F823" s="23">
        <v>0.13150000000000001</v>
      </c>
      <c r="G823" s="23">
        <v>0.20163</v>
      </c>
      <c r="H823" s="23">
        <v>0.20674999999999999</v>
      </c>
      <c r="I823" s="23">
        <v>0.28663</v>
      </c>
    </row>
    <row r="824" spans="1:9" s="21" customFormat="1" ht="20.100000000000001" customHeight="1" x14ac:dyDescent="0.2">
      <c r="A824" s="22">
        <v>44286</v>
      </c>
      <c r="B824" s="23" t="s">
        <v>50</v>
      </c>
      <c r="C824" s="23">
        <v>8.0629999999999993E-2</v>
      </c>
      <c r="D824" s="23">
        <v>8.7499999999999994E-2</v>
      </c>
      <c r="E824" s="23">
        <v>0.11113000000000001</v>
      </c>
      <c r="F824" s="23">
        <v>0.13363</v>
      </c>
      <c r="G824" s="23">
        <v>0.19425000000000001</v>
      </c>
      <c r="H824" s="23">
        <v>0.20524999999999999</v>
      </c>
      <c r="I824" s="23">
        <v>0.28312999999999999</v>
      </c>
    </row>
    <row r="825" spans="1:9" s="21" customFormat="1" ht="20.100000000000001" customHeight="1" x14ac:dyDescent="0.2">
      <c r="A825" s="22">
        <v>44287</v>
      </c>
      <c r="B825" s="23" t="s">
        <v>51</v>
      </c>
      <c r="C825" s="23">
        <v>7.4749999999999997E-2</v>
      </c>
      <c r="D825" s="23">
        <v>8.4879999999999997E-2</v>
      </c>
      <c r="E825" s="23">
        <v>0.11038000000000001</v>
      </c>
      <c r="F825" s="23">
        <v>0.13525000000000001</v>
      </c>
      <c r="G825" s="23">
        <v>0.19975000000000001</v>
      </c>
      <c r="H825" s="23">
        <v>0.20125000000000001</v>
      </c>
      <c r="I825" s="23">
        <v>0.28050000000000003</v>
      </c>
    </row>
    <row r="826" spans="1:9" s="21" customFormat="1" ht="20.100000000000001" customHeight="1" x14ac:dyDescent="0.2">
      <c r="A826" s="22">
        <v>44292</v>
      </c>
      <c r="B826" s="23" t="s">
        <v>49</v>
      </c>
      <c r="C826" s="23">
        <v>7.7880000000000005E-2</v>
      </c>
      <c r="D826" s="23">
        <v>8.6129999999999998E-2</v>
      </c>
      <c r="E826" s="23">
        <v>0.11013000000000001</v>
      </c>
      <c r="F826" s="23">
        <v>0.14413000000000001</v>
      </c>
      <c r="G826" s="23">
        <v>0.19738</v>
      </c>
      <c r="H826" s="23">
        <v>0.20100000000000001</v>
      </c>
      <c r="I826" s="23">
        <v>0.28625</v>
      </c>
    </row>
    <row r="827" spans="1:9" s="21" customFormat="1" ht="20.100000000000001" customHeight="1" x14ac:dyDescent="0.2">
      <c r="A827" s="22">
        <v>44293</v>
      </c>
      <c r="B827" s="23" t="s">
        <v>50</v>
      </c>
      <c r="C827" s="23">
        <v>7.6249999999999998E-2</v>
      </c>
      <c r="D827" s="23">
        <v>8.5879999999999998E-2</v>
      </c>
      <c r="E827" s="23">
        <v>0.1125</v>
      </c>
      <c r="F827" s="23">
        <v>0.14563000000000001</v>
      </c>
      <c r="G827" s="23">
        <v>0.19363</v>
      </c>
      <c r="H827" s="23">
        <v>0.21</v>
      </c>
      <c r="I827" s="23">
        <v>0.28525</v>
      </c>
    </row>
    <row r="828" spans="1:9" s="21" customFormat="1" ht="20.100000000000001" customHeight="1" x14ac:dyDescent="0.2">
      <c r="A828" s="22">
        <v>44294</v>
      </c>
      <c r="B828" s="23" t="s">
        <v>51</v>
      </c>
      <c r="C828" s="23">
        <v>7.4880000000000002E-2</v>
      </c>
      <c r="D828" s="23">
        <v>8.5250000000000006E-2</v>
      </c>
      <c r="E828" s="23">
        <v>0.1105</v>
      </c>
      <c r="F828" s="23">
        <v>0.14774999999999999</v>
      </c>
      <c r="G828" s="23">
        <v>0.18775</v>
      </c>
      <c r="H828" s="23">
        <v>0.21074999999999999</v>
      </c>
      <c r="I828" s="23">
        <v>0.28675</v>
      </c>
    </row>
    <row r="829" spans="1:9" s="21" customFormat="1" ht="20.100000000000001" customHeight="1" x14ac:dyDescent="0.2">
      <c r="A829" s="22">
        <v>44295</v>
      </c>
      <c r="B829" s="23" t="s">
        <v>52</v>
      </c>
      <c r="C829" s="23">
        <v>7.4749999999999997E-2</v>
      </c>
      <c r="D829" s="23">
        <v>8.6629999999999999E-2</v>
      </c>
      <c r="E829" s="23">
        <v>0.11125</v>
      </c>
      <c r="F829" s="23">
        <v>0.14649999999999999</v>
      </c>
      <c r="G829" s="23">
        <v>0.1875</v>
      </c>
      <c r="H829" s="23">
        <v>0.21138000000000001</v>
      </c>
      <c r="I829" s="23">
        <v>0.28575</v>
      </c>
    </row>
    <row r="830" spans="1:9" s="21" customFormat="1" ht="20.100000000000001" customHeight="1" x14ac:dyDescent="0.2">
      <c r="A830" s="22">
        <v>44298</v>
      </c>
      <c r="B830" s="23" t="s">
        <v>53</v>
      </c>
      <c r="C830" s="23">
        <v>7.3499999999999996E-2</v>
      </c>
      <c r="D830" s="23">
        <v>7.8880000000000006E-2</v>
      </c>
      <c r="E830" s="23">
        <v>0.11225</v>
      </c>
      <c r="F830" s="23">
        <v>0.14288000000000001</v>
      </c>
      <c r="G830" s="23">
        <v>0.18575</v>
      </c>
      <c r="H830" s="23">
        <v>0.21462999999999999</v>
      </c>
      <c r="I830" s="23">
        <v>0.28438000000000002</v>
      </c>
    </row>
    <row r="831" spans="1:9" s="21" customFormat="1" ht="20.100000000000001" customHeight="1" x14ac:dyDescent="0.2">
      <c r="A831" s="22">
        <v>44299</v>
      </c>
      <c r="B831" s="23" t="s">
        <v>49</v>
      </c>
      <c r="C831" s="23">
        <v>7.4749999999999997E-2</v>
      </c>
      <c r="D831" s="23">
        <v>8.2250000000000004E-2</v>
      </c>
      <c r="E831" s="23">
        <v>0.11463</v>
      </c>
      <c r="F831" s="23">
        <v>0.14238000000000001</v>
      </c>
      <c r="G831" s="23">
        <v>0.18375</v>
      </c>
      <c r="H831" s="23">
        <v>0.2195</v>
      </c>
      <c r="I831" s="23">
        <v>0.28775000000000001</v>
      </c>
    </row>
    <row r="832" spans="1:9" s="21" customFormat="1" ht="20.100000000000001" customHeight="1" x14ac:dyDescent="0.2">
      <c r="A832" s="22">
        <v>44300</v>
      </c>
      <c r="B832" s="23" t="s">
        <v>50</v>
      </c>
      <c r="C832" s="23">
        <v>7.3630000000000001E-2</v>
      </c>
      <c r="D832" s="23">
        <v>8.6749999999999994E-2</v>
      </c>
      <c r="E832" s="23">
        <v>0.11563</v>
      </c>
      <c r="F832" s="23">
        <v>0.14888000000000001</v>
      </c>
      <c r="G832" s="23">
        <v>0.18362999999999999</v>
      </c>
      <c r="H832" s="23">
        <v>0.21937999999999999</v>
      </c>
      <c r="I832" s="23">
        <v>0.28675</v>
      </c>
    </row>
    <row r="833" spans="1:9" s="21" customFormat="1" ht="20.100000000000001" customHeight="1" x14ac:dyDescent="0.2">
      <c r="A833" s="22">
        <v>44301</v>
      </c>
      <c r="B833" s="23" t="s">
        <v>51</v>
      </c>
      <c r="C833" s="23">
        <v>7.3249999999999996E-2</v>
      </c>
      <c r="D833" s="23">
        <v>8.3879999999999996E-2</v>
      </c>
      <c r="E833" s="23">
        <v>0.115</v>
      </c>
      <c r="F833" s="23">
        <v>0.15</v>
      </c>
      <c r="G833" s="23">
        <v>0.18975</v>
      </c>
      <c r="H833" s="23">
        <v>0.21762999999999999</v>
      </c>
      <c r="I833" s="23">
        <v>0.28775000000000001</v>
      </c>
    </row>
    <row r="834" spans="1:9" s="21" customFormat="1" ht="20.100000000000001" customHeight="1" x14ac:dyDescent="0.2">
      <c r="A834" s="22">
        <v>44302</v>
      </c>
      <c r="B834" s="23" t="s">
        <v>52</v>
      </c>
      <c r="C834" s="23">
        <v>7.2749999999999995E-2</v>
      </c>
      <c r="D834" s="23">
        <v>8.788E-2</v>
      </c>
      <c r="E834" s="23">
        <v>0.11588</v>
      </c>
      <c r="F834" s="23">
        <v>0.1515</v>
      </c>
      <c r="G834" s="23">
        <v>0.18825</v>
      </c>
      <c r="H834" s="23">
        <v>0.22363</v>
      </c>
      <c r="I834" s="23">
        <v>0.29237999999999997</v>
      </c>
    </row>
    <row r="835" spans="1:9" s="21" customFormat="1" ht="20.100000000000001" customHeight="1" x14ac:dyDescent="0.2">
      <c r="A835" s="22">
        <v>44305</v>
      </c>
      <c r="B835" s="23" t="s">
        <v>53</v>
      </c>
      <c r="C835" s="23">
        <v>7.2749999999999995E-2</v>
      </c>
      <c r="D835" s="23">
        <v>8.1129999999999994E-2</v>
      </c>
      <c r="E835" s="23">
        <v>0.11375</v>
      </c>
      <c r="F835" s="23">
        <v>0.14788000000000001</v>
      </c>
      <c r="G835" s="23">
        <v>0.186</v>
      </c>
      <c r="H835" s="23">
        <v>0.22175</v>
      </c>
      <c r="I835" s="23">
        <v>0.28675</v>
      </c>
    </row>
    <row r="836" spans="1:9" s="21" customFormat="1" ht="20.100000000000001" customHeight="1" x14ac:dyDescent="0.2">
      <c r="A836" s="22">
        <v>44306</v>
      </c>
      <c r="B836" s="23" t="s">
        <v>49</v>
      </c>
      <c r="C836" s="23">
        <v>7.288E-2</v>
      </c>
      <c r="D836" s="23">
        <v>8.5379999999999998E-2</v>
      </c>
      <c r="E836" s="23">
        <v>0.1075</v>
      </c>
      <c r="F836" s="23">
        <v>0.15237999999999999</v>
      </c>
      <c r="G836" s="23">
        <v>0.18375</v>
      </c>
      <c r="H836" s="23">
        <v>0.22262999999999999</v>
      </c>
      <c r="I836" s="23">
        <v>0.28699999999999998</v>
      </c>
    </row>
    <row r="837" spans="1:9" s="21" customFormat="1" ht="20.100000000000001" customHeight="1" x14ac:dyDescent="0.2">
      <c r="A837" s="22">
        <v>44307</v>
      </c>
      <c r="B837" s="23" t="s">
        <v>50</v>
      </c>
      <c r="C837" s="23">
        <v>7.213E-2</v>
      </c>
      <c r="D837" s="23">
        <v>8.4750000000000006E-2</v>
      </c>
      <c r="E837" s="23">
        <v>0.11025</v>
      </c>
      <c r="F837" s="23">
        <v>0.153</v>
      </c>
      <c r="G837" s="23">
        <v>0.17288000000000001</v>
      </c>
      <c r="H837" s="23">
        <v>0.2165</v>
      </c>
      <c r="I837" s="23">
        <v>0.28225</v>
      </c>
    </row>
    <row r="838" spans="1:9" s="21" customFormat="1" ht="20.100000000000001" customHeight="1" x14ac:dyDescent="0.2">
      <c r="A838" s="22">
        <v>44308</v>
      </c>
      <c r="B838" s="23" t="s">
        <v>51</v>
      </c>
      <c r="C838" s="23">
        <v>7.3380000000000001E-2</v>
      </c>
      <c r="D838" s="23">
        <v>8.7379999999999999E-2</v>
      </c>
      <c r="E838" s="23">
        <v>0.10613</v>
      </c>
      <c r="F838" s="23">
        <v>0.15013000000000001</v>
      </c>
      <c r="G838" s="23">
        <v>0.17574999999999999</v>
      </c>
      <c r="H838" s="23">
        <v>0.21063000000000001</v>
      </c>
      <c r="I838" s="23">
        <v>0.28075</v>
      </c>
    </row>
    <row r="839" spans="1:9" s="21" customFormat="1" ht="20.100000000000001" customHeight="1" x14ac:dyDescent="0.2">
      <c r="A839" s="22">
        <v>44309</v>
      </c>
      <c r="B839" s="23" t="s">
        <v>52</v>
      </c>
      <c r="C839" s="23">
        <v>7.3380000000000001E-2</v>
      </c>
      <c r="D839" s="23">
        <v>8.5250000000000006E-2</v>
      </c>
      <c r="E839" s="23">
        <v>0.111</v>
      </c>
      <c r="F839" s="23">
        <v>0.14224999999999999</v>
      </c>
      <c r="G839" s="23">
        <v>0.18138000000000001</v>
      </c>
      <c r="H839" s="23">
        <v>0.20413000000000001</v>
      </c>
      <c r="I839" s="23">
        <v>0.28088000000000002</v>
      </c>
    </row>
    <row r="840" spans="1:9" s="21" customFormat="1" ht="20.100000000000001" customHeight="1" x14ac:dyDescent="0.2">
      <c r="A840" s="22">
        <v>44312</v>
      </c>
      <c r="B840" s="23" t="s">
        <v>53</v>
      </c>
      <c r="C840" s="23">
        <v>7.3749999999999996E-2</v>
      </c>
      <c r="D840" s="23">
        <v>8.4250000000000005E-2</v>
      </c>
      <c r="E840" s="23">
        <v>0.111</v>
      </c>
      <c r="F840" s="23">
        <v>0.14224999999999999</v>
      </c>
      <c r="G840" s="23">
        <v>0.184</v>
      </c>
      <c r="H840" s="23">
        <v>0.20188</v>
      </c>
      <c r="I840" s="23">
        <v>0.28199999999999997</v>
      </c>
    </row>
    <row r="841" spans="1:9" s="21" customFormat="1" ht="20.100000000000001" customHeight="1" x14ac:dyDescent="0.2">
      <c r="A841" s="22">
        <v>44313</v>
      </c>
      <c r="B841" s="23" t="s">
        <v>49</v>
      </c>
      <c r="C841" s="23">
        <v>7.3999999999999996E-2</v>
      </c>
      <c r="D841" s="23">
        <v>8.6499999999999994E-2</v>
      </c>
      <c r="E841" s="23">
        <v>0.11025</v>
      </c>
      <c r="F841" s="23">
        <v>0.14549999999999999</v>
      </c>
      <c r="G841" s="23">
        <v>0.17713000000000001</v>
      </c>
      <c r="H841" s="23">
        <v>0.21425</v>
      </c>
      <c r="I841" s="23">
        <v>0.28262999999999999</v>
      </c>
    </row>
    <row r="842" spans="1:9" s="21" customFormat="1" ht="20.100000000000001" customHeight="1" x14ac:dyDescent="0.2">
      <c r="A842" s="22">
        <v>44314</v>
      </c>
      <c r="B842" s="23" t="s">
        <v>50</v>
      </c>
      <c r="C842" s="23">
        <v>7.3130000000000001E-2</v>
      </c>
      <c r="D842" s="23">
        <v>8.2750000000000004E-2</v>
      </c>
      <c r="E842" s="23">
        <v>0.11325</v>
      </c>
      <c r="F842" s="23">
        <v>0.14738000000000001</v>
      </c>
      <c r="G842" s="23">
        <v>0.1855</v>
      </c>
      <c r="H842" s="23">
        <v>0.20599999999999999</v>
      </c>
      <c r="I842" s="23">
        <v>0.28375</v>
      </c>
    </row>
    <row r="843" spans="1:9" s="21" customFormat="1" ht="20.100000000000001" customHeight="1" x14ac:dyDescent="0.2">
      <c r="A843" s="22">
        <v>44315</v>
      </c>
      <c r="B843" s="23" t="s">
        <v>51</v>
      </c>
      <c r="C843" s="23">
        <v>7.2749999999999995E-2</v>
      </c>
      <c r="D843" s="23">
        <v>8.1629999999999994E-2</v>
      </c>
      <c r="E843" s="23">
        <v>0.11013000000000001</v>
      </c>
      <c r="F843" s="23">
        <v>0.14413000000000001</v>
      </c>
      <c r="G843" s="23">
        <v>0.17563000000000001</v>
      </c>
      <c r="H843" s="23">
        <v>0.20638000000000001</v>
      </c>
      <c r="I843" s="23">
        <v>0.28138000000000002</v>
      </c>
    </row>
    <row r="844" spans="1:9" s="21" customFormat="1" ht="20.100000000000001" customHeight="1" x14ac:dyDescent="0.2">
      <c r="A844" s="22">
        <v>44316</v>
      </c>
      <c r="B844" s="23" t="s">
        <v>52</v>
      </c>
      <c r="C844" s="23">
        <v>7.1249999999999994E-2</v>
      </c>
      <c r="D844" s="23">
        <v>7.775E-2</v>
      </c>
      <c r="E844" s="23">
        <v>0.10725</v>
      </c>
      <c r="F844" s="23">
        <v>0.14413000000000001</v>
      </c>
      <c r="G844" s="23">
        <v>0.17638000000000001</v>
      </c>
      <c r="H844" s="23">
        <v>0.20488000000000001</v>
      </c>
      <c r="I844" s="23">
        <v>0.28112999999999999</v>
      </c>
    </row>
    <row r="845" spans="1:9" s="21" customFormat="1" ht="20.100000000000001" customHeight="1" x14ac:dyDescent="0.2">
      <c r="A845" s="22">
        <v>44320</v>
      </c>
      <c r="B845" s="23" t="s">
        <v>49</v>
      </c>
      <c r="C845" s="23">
        <v>6.4500000000000002E-2</v>
      </c>
      <c r="D845" s="23">
        <v>8.0750000000000002E-2</v>
      </c>
      <c r="E845" s="23">
        <v>0.10838</v>
      </c>
      <c r="F845" s="23">
        <v>0.14724999999999999</v>
      </c>
      <c r="G845" s="23">
        <v>0.17538000000000001</v>
      </c>
      <c r="H845" s="23">
        <v>0.20663000000000001</v>
      </c>
      <c r="I845" s="23">
        <v>0.28288000000000002</v>
      </c>
    </row>
    <row r="846" spans="1:9" s="21" customFormat="1" ht="20.100000000000001" customHeight="1" x14ac:dyDescent="0.2">
      <c r="A846" s="22">
        <v>44321</v>
      </c>
      <c r="B846" s="23" t="s">
        <v>50</v>
      </c>
      <c r="C846" s="23">
        <v>6.7879999999999996E-2</v>
      </c>
      <c r="D846" s="23">
        <v>7.6999999999999999E-2</v>
      </c>
      <c r="E846" s="23">
        <v>0.10563</v>
      </c>
      <c r="F846" s="23">
        <v>0.14174999999999999</v>
      </c>
      <c r="G846" s="23">
        <v>0.16988</v>
      </c>
      <c r="H846" s="23">
        <v>0.20063</v>
      </c>
      <c r="I846" s="23">
        <v>0.27900000000000003</v>
      </c>
    </row>
    <row r="847" spans="1:9" s="21" customFormat="1" ht="20.100000000000001" customHeight="1" x14ac:dyDescent="0.2">
      <c r="A847" s="22">
        <v>44322</v>
      </c>
      <c r="B847" s="23" t="s">
        <v>51</v>
      </c>
      <c r="C847" s="23">
        <v>6.4250000000000002E-2</v>
      </c>
      <c r="D847" s="23">
        <v>7.3249999999999996E-2</v>
      </c>
      <c r="E847" s="23">
        <v>9.5130000000000006E-2</v>
      </c>
      <c r="F847" s="23">
        <v>0.13500000000000001</v>
      </c>
      <c r="G847" s="23">
        <v>0.16200000000000001</v>
      </c>
      <c r="H847" s="23">
        <v>0.20013</v>
      </c>
      <c r="I847" s="23">
        <v>0.27350000000000002</v>
      </c>
    </row>
    <row r="848" spans="1:9" s="21" customFormat="1" ht="20.100000000000001" customHeight="1" x14ac:dyDescent="0.2">
      <c r="A848" s="22">
        <v>44323</v>
      </c>
      <c r="B848" s="23" t="s">
        <v>52</v>
      </c>
      <c r="C848" s="23">
        <v>6.4130000000000006E-2</v>
      </c>
      <c r="D848" s="23">
        <v>6.9379999999999997E-2</v>
      </c>
      <c r="E848" s="23">
        <v>0.10138</v>
      </c>
      <c r="F848" s="23">
        <v>0.12837999999999999</v>
      </c>
      <c r="G848" s="23">
        <v>0.15987999999999999</v>
      </c>
      <c r="H848" s="23">
        <v>0.19275</v>
      </c>
      <c r="I848" s="23">
        <v>0.27100000000000002</v>
      </c>
    </row>
    <row r="849" spans="1:9" s="21" customFormat="1" ht="20.100000000000001" customHeight="1" x14ac:dyDescent="0.2">
      <c r="A849" s="22">
        <v>44326</v>
      </c>
      <c r="B849" s="23" t="s">
        <v>53</v>
      </c>
      <c r="C849" s="23">
        <v>6.3380000000000006E-2</v>
      </c>
      <c r="D849" s="23">
        <v>7.1499999999999994E-2</v>
      </c>
      <c r="E849" s="23">
        <v>9.8129999999999995E-2</v>
      </c>
      <c r="F849" s="23">
        <v>0.13250000000000001</v>
      </c>
      <c r="G849" s="23">
        <v>0.16750000000000001</v>
      </c>
      <c r="H849" s="23">
        <v>0.1925</v>
      </c>
      <c r="I849" s="23">
        <v>0.26700000000000002</v>
      </c>
    </row>
    <row r="850" spans="1:9" s="21" customFormat="1" ht="20.100000000000001" customHeight="1" x14ac:dyDescent="0.2">
      <c r="A850" s="22">
        <v>44327</v>
      </c>
      <c r="B850" s="23" t="s">
        <v>49</v>
      </c>
      <c r="C850" s="23">
        <v>6.0630000000000003E-2</v>
      </c>
      <c r="D850" s="23">
        <v>7.1249999999999994E-2</v>
      </c>
      <c r="E850" s="23">
        <v>9.375E-2</v>
      </c>
      <c r="F850" s="23">
        <v>0.12712999999999999</v>
      </c>
      <c r="G850" s="23">
        <v>0.16025</v>
      </c>
      <c r="H850" s="23">
        <v>0.191</v>
      </c>
      <c r="I850" s="23">
        <v>0.26512999999999998</v>
      </c>
    </row>
    <row r="851" spans="1:9" s="21" customFormat="1" ht="20.100000000000001" customHeight="1" x14ac:dyDescent="0.2">
      <c r="A851" s="22">
        <v>44328</v>
      </c>
      <c r="B851" s="23" t="s">
        <v>50</v>
      </c>
      <c r="C851" s="23">
        <v>0.06</v>
      </c>
      <c r="D851" s="23">
        <v>7.2499999999999995E-2</v>
      </c>
      <c r="E851" s="23">
        <v>9.8129999999999995E-2</v>
      </c>
      <c r="F851" s="23">
        <v>0.1285</v>
      </c>
      <c r="G851" s="23">
        <v>0.15412999999999999</v>
      </c>
      <c r="H851" s="23">
        <v>0.19012999999999999</v>
      </c>
      <c r="I851" s="23">
        <v>0.26438</v>
      </c>
    </row>
    <row r="852" spans="1:9" s="21" customFormat="1" ht="20.100000000000001" customHeight="1" x14ac:dyDescent="0.2">
      <c r="A852" s="22">
        <v>44329</v>
      </c>
      <c r="B852" s="23" t="s">
        <v>51</v>
      </c>
      <c r="C852" s="23">
        <v>6.225E-2</v>
      </c>
      <c r="D852" s="23">
        <v>6.8750000000000006E-2</v>
      </c>
      <c r="E852" s="23">
        <v>0.10088</v>
      </c>
      <c r="F852" s="23">
        <v>0.12575</v>
      </c>
      <c r="G852" s="23">
        <v>0.15587999999999999</v>
      </c>
      <c r="H852" s="23">
        <v>0.19263</v>
      </c>
      <c r="I852" s="23">
        <v>0.26462999999999998</v>
      </c>
    </row>
    <row r="853" spans="1:9" s="21" customFormat="1" ht="20.100000000000001" customHeight="1" x14ac:dyDescent="0.2">
      <c r="A853" s="22">
        <v>44330</v>
      </c>
      <c r="B853" s="23" t="s">
        <v>52</v>
      </c>
      <c r="C853" s="23">
        <v>6.2E-2</v>
      </c>
      <c r="D853" s="23">
        <v>6.6250000000000003E-2</v>
      </c>
      <c r="E853" s="23">
        <v>9.7500000000000003E-2</v>
      </c>
      <c r="F853" s="23">
        <v>0.12263</v>
      </c>
      <c r="G853" s="23">
        <v>0.15512999999999999</v>
      </c>
      <c r="H853" s="23">
        <v>0.18762999999999999</v>
      </c>
      <c r="I853" s="23">
        <v>0.26588000000000001</v>
      </c>
    </row>
    <row r="854" spans="1:9" s="21" customFormat="1" ht="20.100000000000001" customHeight="1" x14ac:dyDescent="0.2">
      <c r="A854" s="22">
        <v>44333</v>
      </c>
      <c r="B854" s="23" t="s">
        <v>53</v>
      </c>
      <c r="C854" s="23">
        <v>6.2379999999999998E-2</v>
      </c>
      <c r="D854" s="23">
        <v>6.7500000000000004E-2</v>
      </c>
      <c r="E854" s="23">
        <v>9.7500000000000003E-2</v>
      </c>
      <c r="F854" s="23">
        <v>0.123</v>
      </c>
      <c r="G854" s="23">
        <v>0.14963000000000001</v>
      </c>
      <c r="H854" s="23">
        <v>0.1865</v>
      </c>
      <c r="I854" s="23">
        <v>0.26450000000000001</v>
      </c>
    </row>
    <row r="855" spans="1:9" s="21" customFormat="1" ht="20.100000000000001" customHeight="1" x14ac:dyDescent="0.2">
      <c r="A855" s="22">
        <v>44334</v>
      </c>
      <c r="B855" s="23" t="s">
        <v>49</v>
      </c>
      <c r="C855" s="23">
        <v>6.2880000000000005E-2</v>
      </c>
      <c r="D855" s="23">
        <v>7.0749999999999993E-2</v>
      </c>
      <c r="E855" s="23">
        <v>9.9250000000000005E-2</v>
      </c>
      <c r="F855" s="23">
        <v>0.122</v>
      </c>
      <c r="G855" s="23">
        <v>0.15525</v>
      </c>
      <c r="H855" s="23">
        <v>0.18375</v>
      </c>
      <c r="I855" s="23">
        <v>0.26274999999999998</v>
      </c>
    </row>
    <row r="856" spans="1:9" s="21" customFormat="1" ht="20.100000000000001" customHeight="1" x14ac:dyDescent="0.2">
      <c r="A856" s="22">
        <v>44335</v>
      </c>
      <c r="B856" s="23" t="s">
        <v>50</v>
      </c>
      <c r="C856" s="23">
        <v>6.1629999999999997E-2</v>
      </c>
      <c r="D856" s="23">
        <v>6.7879999999999996E-2</v>
      </c>
      <c r="E856" s="23">
        <v>9.6500000000000002E-2</v>
      </c>
      <c r="F856" s="23">
        <v>0.1275</v>
      </c>
      <c r="G856" s="23">
        <v>0.14924999999999999</v>
      </c>
      <c r="H856" s="23">
        <v>0.18362999999999999</v>
      </c>
      <c r="I856" s="23">
        <v>0.26350000000000001</v>
      </c>
    </row>
    <row r="857" spans="1:9" s="21" customFormat="1" ht="20.100000000000001" customHeight="1" x14ac:dyDescent="0.2">
      <c r="A857" s="22">
        <v>44336</v>
      </c>
      <c r="B857" s="23" t="s">
        <v>51</v>
      </c>
      <c r="C857" s="23">
        <v>6.1129999999999997E-2</v>
      </c>
      <c r="D857" s="23">
        <v>6.225E-2</v>
      </c>
      <c r="E857" s="23">
        <v>9.2499999999999999E-2</v>
      </c>
      <c r="F857" s="23">
        <v>0.12213</v>
      </c>
      <c r="G857" s="23">
        <v>0.15013000000000001</v>
      </c>
      <c r="H857" s="23">
        <v>0.18425</v>
      </c>
      <c r="I857" s="23">
        <v>0.26400000000000001</v>
      </c>
    </row>
    <row r="858" spans="1:9" s="21" customFormat="1" ht="20.100000000000001" customHeight="1" x14ac:dyDescent="0.2">
      <c r="A858" s="22">
        <v>44337</v>
      </c>
      <c r="B858" s="23" t="s">
        <v>52</v>
      </c>
      <c r="C858" s="23">
        <v>5.9749999999999998E-2</v>
      </c>
      <c r="D858" s="23">
        <v>6.1879999999999998E-2</v>
      </c>
      <c r="E858" s="23">
        <v>9.1630000000000003E-2</v>
      </c>
      <c r="F858" s="23">
        <v>0.12113</v>
      </c>
      <c r="G858" s="23">
        <v>0.14699999999999999</v>
      </c>
      <c r="H858" s="23">
        <v>0.17874999999999999</v>
      </c>
      <c r="I858" s="23">
        <v>0.25963000000000003</v>
      </c>
    </row>
    <row r="859" spans="1:9" s="21" customFormat="1" ht="20.100000000000001" customHeight="1" x14ac:dyDescent="0.2">
      <c r="A859" s="22">
        <v>44340</v>
      </c>
      <c r="B859" s="23" t="s">
        <v>53</v>
      </c>
      <c r="C859" s="23">
        <v>5.9249999999999997E-2</v>
      </c>
      <c r="D859" s="23">
        <v>6.225E-2</v>
      </c>
      <c r="E859" s="23">
        <v>9.0999999999999998E-2</v>
      </c>
      <c r="F859" s="23">
        <v>0.12025</v>
      </c>
      <c r="G859" s="23">
        <v>0.14088000000000001</v>
      </c>
      <c r="H859" s="23">
        <v>0.17663000000000001</v>
      </c>
      <c r="I859" s="23">
        <v>0.25824999999999998</v>
      </c>
    </row>
    <row r="860" spans="1:9" s="21" customFormat="1" ht="20.100000000000001" customHeight="1" x14ac:dyDescent="0.2">
      <c r="A860" s="22">
        <v>44341</v>
      </c>
      <c r="B860" s="23" t="s">
        <v>49</v>
      </c>
      <c r="C860" s="23">
        <v>6.0630000000000003E-2</v>
      </c>
      <c r="D860" s="23">
        <v>6.1749999999999999E-2</v>
      </c>
      <c r="E860" s="23">
        <v>0.09</v>
      </c>
      <c r="F860" s="23">
        <v>0.11688</v>
      </c>
      <c r="G860" s="23">
        <v>0.13850000000000001</v>
      </c>
      <c r="H860" s="23">
        <v>0.17674999999999999</v>
      </c>
      <c r="I860" s="23">
        <v>0.25600000000000001</v>
      </c>
    </row>
    <row r="861" spans="1:9" s="21" customFormat="1" ht="20.100000000000001" customHeight="1" x14ac:dyDescent="0.2">
      <c r="A861" s="22">
        <v>44342</v>
      </c>
      <c r="B861" s="23" t="s">
        <v>50</v>
      </c>
      <c r="C861" s="23">
        <v>5.8880000000000002E-2</v>
      </c>
      <c r="D861" s="23">
        <v>5.8130000000000001E-2</v>
      </c>
      <c r="E861" s="23">
        <v>9.2499999999999999E-2</v>
      </c>
      <c r="F861" s="23">
        <v>0.11763</v>
      </c>
      <c r="G861" s="23">
        <v>0.13500000000000001</v>
      </c>
      <c r="H861" s="23">
        <v>0.17175000000000001</v>
      </c>
      <c r="I861" s="23">
        <v>0.25187999999999999</v>
      </c>
    </row>
    <row r="862" spans="1:9" s="21" customFormat="1" ht="20.100000000000001" customHeight="1" x14ac:dyDescent="0.2">
      <c r="A862" s="22">
        <v>44343</v>
      </c>
      <c r="B862" s="23" t="s">
        <v>51</v>
      </c>
      <c r="C862" s="23">
        <v>5.7000000000000002E-2</v>
      </c>
      <c r="D862" s="23">
        <v>6.1379999999999997E-2</v>
      </c>
      <c r="E862" s="23">
        <v>9.2130000000000004E-2</v>
      </c>
      <c r="F862" s="23">
        <v>0.11675000000000001</v>
      </c>
      <c r="G862" s="23">
        <v>0.13463</v>
      </c>
      <c r="H862" s="23">
        <v>0.17113</v>
      </c>
      <c r="I862" s="23">
        <v>0.24875</v>
      </c>
    </row>
    <row r="863" spans="1:9" s="21" customFormat="1" ht="20.100000000000001" customHeight="1" x14ac:dyDescent="0.2">
      <c r="A863" s="22">
        <v>44344</v>
      </c>
      <c r="B863" s="23" t="s">
        <v>52</v>
      </c>
      <c r="C863" s="23">
        <v>6.1129999999999997E-2</v>
      </c>
      <c r="D863" s="23">
        <v>5.8000000000000003E-2</v>
      </c>
      <c r="E863" s="23">
        <v>8.5879999999999998E-2</v>
      </c>
      <c r="F863" s="23">
        <v>0.11724999999999999</v>
      </c>
      <c r="G863" s="23">
        <v>0.13138</v>
      </c>
      <c r="H863" s="23">
        <v>0.17100000000000001</v>
      </c>
      <c r="I863" s="23">
        <v>0.24812999999999999</v>
      </c>
    </row>
    <row r="864" spans="1:9" s="21" customFormat="1" ht="20.100000000000001" customHeight="1" x14ac:dyDescent="0.2">
      <c r="A864" s="22">
        <v>44348</v>
      </c>
      <c r="B864" s="23" t="s">
        <v>49</v>
      </c>
      <c r="C864" s="23">
        <v>5.425E-2</v>
      </c>
      <c r="D864" s="23">
        <v>6.0999999999999999E-2</v>
      </c>
      <c r="E864" s="23">
        <v>8.8749999999999996E-2</v>
      </c>
      <c r="F864" s="23">
        <v>0.11688</v>
      </c>
      <c r="G864" s="23">
        <v>0.1285</v>
      </c>
      <c r="H864" s="23">
        <v>0.17488000000000001</v>
      </c>
      <c r="I864" s="23">
        <v>0.24687999999999999</v>
      </c>
    </row>
    <row r="865" spans="1:9" s="21" customFormat="1" ht="20.100000000000001" customHeight="1" x14ac:dyDescent="0.2">
      <c r="A865" s="22">
        <v>44349</v>
      </c>
      <c r="B865" s="23" t="s">
        <v>50</v>
      </c>
      <c r="C865" s="23">
        <v>5.5E-2</v>
      </c>
      <c r="D865" s="23">
        <v>6.0130000000000003E-2</v>
      </c>
      <c r="E865" s="23">
        <v>8.5500000000000007E-2</v>
      </c>
      <c r="F865" s="23">
        <v>0.1105</v>
      </c>
      <c r="G865" s="23">
        <v>0.13400000000000001</v>
      </c>
      <c r="H865" s="23">
        <v>0.16738</v>
      </c>
      <c r="I865" s="23">
        <v>0.24487999999999999</v>
      </c>
    </row>
    <row r="866" spans="1:9" s="21" customFormat="1" ht="20.100000000000001" customHeight="1" x14ac:dyDescent="0.2">
      <c r="A866" s="22">
        <v>44350</v>
      </c>
      <c r="B866" s="23" t="s">
        <v>51</v>
      </c>
      <c r="C866" s="23">
        <v>5.4629999999999998E-2</v>
      </c>
      <c r="D866" s="23">
        <v>6.25E-2</v>
      </c>
      <c r="E866" s="23">
        <v>0.08</v>
      </c>
      <c r="F866" s="23">
        <v>0.11013000000000001</v>
      </c>
      <c r="G866" s="23">
        <v>0.13075000000000001</v>
      </c>
      <c r="H866" s="23">
        <v>0.16475000000000001</v>
      </c>
      <c r="I866" s="23">
        <v>0.24562999999999999</v>
      </c>
    </row>
    <row r="867" spans="1:9" s="21" customFormat="1" ht="20.100000000000001" customHeight="1" x14ac:dyDescent="0.2">
      <c r="A867" s="22">
        <v>44351</v>
      </c>
      <c r="B867" s="23" t="s">
        <v>52</v>
      </c>
      <c r="C867" s="23">
        <v>5.5129999999999998E-2</v>
      </c>
      <c r="D867" s="23">
        <v>6.0380000000000003E-2</v>
      </c>
      <c r="E867" s="23">
        <v>8.1250000000000003E-2</v>
      </c>
      <c r="F867" s="23">
        <v>0.11788</v>
      </c>
      <c r="G867" s="23">
        <v>0.12825</v>
      </c>
      <c r="H867" s="23">
        <v>0.16488</v>
      </c>
      <c r="I867" s="23">
        <v>0.246</v>
      </c>
    </row>
    <row r="868" spans="1:9" s="21" customFormat="1" ht="20.100000000000001" customHeight="1" x14ac:dyDescent="0.2">
      <c r="A868" s="22">
        <v>44354</v>
      </c>
      <c r="B868" s="23" t="s">
        <v>53</v>
      </c>
      <c r="C868" s="23">
        <v>5.5E-2</v>
      </c>
      <c r="D868" s="23">
        <v>6.1249999999999999E-2</v>
      </c>
      <c r="E868" s="23">
        <v>8.1250000000000003E-2</v>
      </c>
      <c r="F868" s="23">
        <v>0.115</v>
      </c>
      <c r="G868" s="23">
        <v>0.12313</v>
      </c>
      <c r="H868" s="23">
        <v>0.16063</v>
      </c>
      <c r="I868" s="23">
        <v>0.24163000000000001</v>
      </c>
    </row>
    <row r="869" spans="1:9" s="21" customFormat="1" ht="20.100000000000001" customHeight="1" x14ac:dyDescent="0.2">
      <c r="A869" s="22">
        <v>44355</v>
      </c>
      <c r="B869" s="23" t="s">
        <v>49</v>
      </c>
      <c r="C869" s="23">
        <v>5.5E-2</v>
      </c>
      <c r="D869" s="23">
        <v>5.9630000000000002E-2</v>
      </c>
      <c r="E869" s="23">
        <v>7.6999999999999999E-2</v>
      </c>
      <c r="F869" s="23">
        <v>0.11262999999999999</v>
      </c>
      <c r="G869" s="23">
        <v>0.128</v>
      </c>
      <c r="H869" s="23">
        <v>0.15462999999999999</v>
      </c>
      <c r="I869" s="23">
        <v>0.24074999999999999</v>
      </c>
    </row>
    <row r="870" spans="1:9" s="21" customFormat="1" ht="20.100000000000001" customHeight="1" x14ac:dyDescent="0.2">
      <c r="A870" s="22">
        <v>44356</v>
      </c>
      <c r="B870" s="23" t="s">
        <v>50</v>
      </c>
      <c r="C870" s="23">
        <v>5.4629999999999998E-2</v>
      </c>
      <c r="D870" s="23">
        <v>6.3130000000000006E-2</v>
      </c>
      <c r="E870" s="23">
        <v>7.4630000000000002E-2</v>
      </c>
      <c r="F870" s="23">
        <v>0.10613</v>
      </c>
      <c r="G870" s="23">
        <v>0.12475</v>
      </c>
      <c r="H870" s="23">
        <v>0.15687999999999999</v>
      </c>
      <c r="I870" s="23">
        <v>0.24088000000000001</v>
      </c>
    </row>
    <row r="871" spans="1:9" s="21" customFormat="1" ht="20.100000000000001" customHeight="1" x14ac:dyDescent="0.2">
      <c r="A871" s="22">
        <v>44357</v>
      </c>
      <c r="B871" s="23" t="s">
        <v>51</v>
      </c>
      <c r="C871" s="23">
        <v>5.5750000000000001E-2</v>
      </c>
      <c r="D871" s="23">
        <v>5.7880000000000001E-2</v>
      </c>
      <c r="E871" s="23">
        <v>7.263E-2</v>
      </c>
      <c r="F871" s="23">
        <v>0.10463</v>
      </c>
      <c r="G871" s="23">
        <v>0.11899999999999999</v>
      </c>
      <c r="H871" s="23">
        <v>0.14824999999999999</v>
      </c>
      <c r="I871" s="23">
        <v>0.23924999999999999</v>
      </c>
    </row>
    <row r="872" spans="1:9" s="21" customFormat="1" ht="20.100000000000001" customHeight="1" x14ac:dyDescent="0.2">
      <c r="A872" s="22">
        <v>44358</v>
      </c>
      <c r="B872" s="23" t="s">
        <v>52</v>
      </c>
      <c r="C872" s="23">
        <v>5.5379999999999999E-2</v>
      </c>
      <c r="D872" s="23">
        <v>5.9630000000000002E-2</v>
      </c>
      <c r="E872" s="23">
        <v>7.288E-2</v>
      </c>
      <c r="F872" s="23">
        <v>0.10349999999999999</v>
      </c>
      <c r="G872" s="23">
        <v>0.11888</v>
      </c>
      <c r="H872" s="23">
        <v>0.1525</v>
      </c>
      <c r="I872" s="23">
        <v>0.23938000000000001</v>
      </c>
    </row>
    <row r="873" spans="1:9" s="21" customFormat="1" ht="20.100000000000001" customHeight="1" x14ac:dyDescent="0.2">
      <c r="A873" s="22">
        <v>44361</v>
      </c>
      <c r="B873" s="23" t="s">
        <v>53</v>
      </c>
      <c r="C873" s="23">
        <v>5.5379999999999999E-2</v>
      </c>
      <c r="D873" s="23">
        <v>6.225E-2</v>
      </c>
      <c r="E873" s="23">
        <v>7.4630000000000002E-2</v>
      </c>
      <c r="F873" s="23">
        <v>0.10263</v>
      </c>
      <c r="G873" s="23">
        <v>0.11799999999999999</v>
      </c>
      <c r="H873" s="23">
        <v>0.15038000000000001</v>
      </c>
      <c r="I873" s="23">
        <v>0.23749999999999999</v>
      </c>
    </row>
    <row r="874" spans="1:9" s="21" customFormat="1" ht="20.100000000000001" customHeight="1" x14ac:dyDescent="0.2">
      <c r="A874" s="22">
        <v>44362</v>
      </c>
      <c r="B874" s="23" t="s">
        <v>49</v>
      </c>
      <c r="C874" s="23">
        <v>5.6129999999999999E-2</v>
      </c>
      <c r="D874" s="23">
        <v>6.8000000000000005E-2</v>
      </c>
      <c r="E874" s="23">
        <v>8.1750000000000003E-2</v>
      </c>
      <c r="F874" s="23">
        <v>0.109</v>
      </c>
      <c r="G874" s="23">
        <v>0.12475</v>
      </c>
      <c r="H874" s="23">
        <v>0.15262999999999999</v>
      </c>
      <c r="I874" s="23">
        <v>0.23325000000000001</v>
      </c>
    </row>
    <row r="875" spans="1:9" s="21" customFormat="1" ht="20.100000000000001" customHeight="1" x14ac:dyDescent="0.2">
      <c r="A875" s="22">
        <v>44363</v>
      </c>
      <c r="B875" s="23" t="s">
        <v>50</v>
      </c>
      <c r="C875" s="23">
        <v>5.5500000000000001E-2</v>
      </c>
      <c r="D875" s="23">
        <v>6.3880000000000006E-2</v>
      </c>
      <c r="E875" s="23">
        <v>8.2500000000000004E-2</v>
      </c>
      <c r="F875" s="23">
        <v>0.11113000000000001</v>
      </c>
      <c r="G875" s="23">
        <v>0.1245</v>
      </c>
      <c r="H875" s="23">
        <v>0.15187999999999999</v>
      </c>
      <c r="I875" s="23">
        <v>0.23449999999999999</v>
      </c>
    </row>
    <row r="876" spans="1:9" s="21" customFormat="1" ht="20.100000000000001" customHeight="1" x14ac:dyDescent="0.2">
      <c r="A876" s="22">
        <v>44364</v>
      </c>
      <c r="B876" s="23" t="s">
        <v>51</v>
      </c>
      <c r="C876" s="23">
        <v>6.3250000000000001E-2</v>
      </c>
      <c r="D876" s="23">
        <v>7.7249999999999999E-2</v>
      </c>
      <c r="E876" s="23">
        <v>9.3380000000000005E-2</v>
      </c>
      <c r="F876" s="23">
        <v>0.11337999999999999</v>
      </c>
      <c r="G876" s="23">
        <v>0.13450000000000001</v>
      </c>
      <c r="H876" s="23">
        <v>0.15862999999999999</v>
      </c>
      <c r="I876" s="23">
        <v>0.24512999999999999</v>
      </c>
    </row>
    <row r="877" spans="1:9" s="21" customFormat="1" ht="20.100000000000001" customHeight="1" x14ac:dyDescent="0.2">
      <c r="A877" s="22">
        <v>44365</v>
      </c>
      <c r="B877" s="23" t="s">
        <v>52</v>
      </c>
      <c r="C877" s="23">
        <v>8.0500000000000002E-2</v>
      </c>
      <c r="D877" s="23">
        <v>8.6129999999999998E-2</v>
      </c>
      <c r="E877" s="23">
        <v>9.0999999999999998E-2</v>
      </c>
      <c r="F877" s="23">
        <v>0.11849999999999999</v>
      </c>
      <c r="G877" s="23">
        <v>0.13488</v>
      </c>
      <c r="H877" s="23">
        <v>0.15625</v>
      </c>
      <c r="I877" s="23">
        <v>0.24013000000000001</v>
      </c>
    </row>
    <row r="878" spans="1:9" s="21" customFormat="1" ht="20.100000000000001" customHeight="1" x14ac:dyDescent="0.2">
      <c r="A878" s="22">
        <v>44368</v>
      </c>
      <c r="B878" s="23" t="s">
        <v>53</v>
      </c>
      <c r="C878" s="23">
        <v>8.4750000000000006E-2</v>
      </c>
      <c r="D878" s="23">
        <v>8.8999999999999996E-2</v>
      </c>
      <c r="E878" s="23">
        <v>9.5880000000000007E-2</v>
      </c>
      <c r="F878" s="23">
        <v>0.11838</v>
      </c>
      <c r="G878" s="23">
        <v>0.13788</v>
      </c>
      <c r="H878" s="23">
        <v>0.16375000000000001</v>
      </c>
      <c r="I878" s="23">
        <v>0.25087999999999999</v>
      </c>
    </row>
    <row r="879" spans="1:9" s="21" customFormat="1" ht="20.100000000000001" customHeight="1" x14ac:dyDescent="0.2">
      <c r="A879" s="22">
        <v>44369</v>
      </c>
      <c r="B879" s="23" t="s">
        <v>49</v>
      </c>
      <c r="C879" s="23">
        <v>8.5379999999999998E-2</v>
      </c>
      <c r="D879" s="23">
        <v>8.8249999999999995E-2</v>
      </c>
      <c r="E879" s="23">
        <v>9.0749999999999997E-2</v>
      </c>
      <c r="F879" s="23">
        <v>0.11675000000000001</v>
      </c>
      <c r="G879" s="23">
        <v>0.13375000000000001</v>
      </c>
      <c r="H879" s="23">
        <v>0.16063</v>
      </c>
      <c r="I879" s="23">
        <v>0.24562999999999999</v>
      </c>
    </row>
    <row r="880" spans="1:9" s="21" customFormat="1" ht="20.100000000000001" customHeight="1" x14ac:dyDescent="0.2">
      <c r="A880" s="22">
        <v>44370</v>
      </c>
      <c r="B880" s="23" t="s">
        <v>50</v>
      </c>
      <c r="C880" s="23">
        <v>8.5250000000000006E-2</v>
      </c>
      <c r="D880" s="23">
        <v>9.3630000000000005E-2</v>
      </c>
      <c r="E880" s="23">
        <v>9.1499999999999998E-2</v>
      </c>
      <c r="F880" s="23">
        <v>0.12013</v>
      </c>
      <c r="G880" s="23">
        <v>0.14724999999999999</v>
      </c>
      <c r="H880" s="23">
        <v>0.15937999999999999</v>
      </c>
      <c r="I880" s="23">
        <v>0.24349999999999999</v>
      </c>
    </row>
    <row r="881" spans="1:9" s="21" customFormat="1" ht="20.100000000000001" customHeight="1" x14ac:dyDescent="0.2">
      <c r="A881" s="22">
        <v>44371</v>
      </c>
      <c r="B881" s="23" t="s">
        <v>51</v>
      </c>
      <c r="C881" s="23">
        <v>8.5000000000000006E-2</v>
      </c>
      <c r="D881" s="23">
        <v>9.0999999999999998E-2</v>
      </c>
      <c r="E881" s="23">
        <v>9.5000000000000001E-2</v>
      </c>
      <c r="F881" s="23">
        <v>0.11525000000000001</v>
      </c>
      <c r="G881" s="23">
        <v>0.14599999999999999</v>
      </c>
      <c r="H881" s="23">
        <v>0.16525000000000001</v>
      </c>
      <c r="I881" s="23">
        <v>0.24762999999999999</v>
      </c>
    </row>
    <row r="882" spans="1:9" s="21" customFormat="1" ht="20.100000000000001" customHeight="1" x14ac:dyDescent="0.2">
      <c r="A882" s="22">
        <v>44372</v>
      </c>
      <c r="B882" s="23" t="s">
        <v>52</v>
      </c>
      <c r="C882" s="23">
        <v>8.3379999999999996E-2</v>
      </c>
      <c r="D882" s="23">
        <v>9.4380000000000006E-2</v>
      </c>
      <c r="E882" s="23">
        <v>9.6129999999999993E-2</v>
      </c>
      <c r="F882" s="23">
        <v>0.11613</v>
      </c>
      <c r="G882" s="23">
        <v>0.14599999999999999</v>
      </c>
      <c r="H882" s="23">
        <v>0.16550000000000001</v>
      </c>
      <c r="I882" s="23">
        <v>0.24925</v>
      </c>
    </row>
    <row r="883" spans="1:9" s="21" customFormat="1" ht="20.100000000000001" customHeight="1" x14ac:dyDescent="0.2">
      <c r="A883" s="22">
        <v>44375</v>
      </c>
      <c r="B883" s="23" t="s">
        <v>53</v>
      </c>
      <c r="C883" s="23">
        <v>8.3750000000000005E-2</v>
      </c>
      <c r="D883" s="23">
        <v>9.4380000000000006E-2</v>
      </c>
      <c r="E883" s="23">
        <v>0.10425</v>
      </c>
      <c r="F883" s="23">
        <v>0.125</v>
      </c>
      <c r="G883" s="23">
        <v>0.14724999999999999</v>
      </c>
      <c r="H883" s="23">
        <v>0.16663</v>
      </c>
      <c r="I883" s="23">
        <v>0.2475</v>
      </c>
    </row>
    <row r="884" spans="1:9" s="21" customFormat="1" ht="20.100000000000001" customHeight="1" x14ac:dyDescent="0.2">
      <c r="A884" s="22">
        <v>44376</v>
      </c>
      <c r="B884" s="23" t="s">
        <v>49</v>
      </c>
      <c r="C884" s="23">
        <v>8.3129999999999996E-2</v>
      </c>
      <c r="D884" s="23">
        <v>9.1249999999999998E-2</v>
      </c>
      <c r="E884" s="23">
        <v>0.10025000000000001</v>
      </c>
      <c r="F884" s="23">
        <v>0.12338</v>
      </c>
      <c r="G884" s="23">
        <v>0.14488000000000001</v>
      </c>
      <c r="H884" s="23">
        <v>0.16088</v>
      </c>
      <c r="I884" s="23">
        <v>0.24987999999999999</v>
      </c>
    </row>
    <row r="885" spans="1:9" s="21" customFormat="1" ht="20.100000000000001" customHeight="1" x14ac:dyDescent="0.2">
      <c r="A885" s="22">
        <v>44377</v>
      </c>
      <c r="B885" s="23" t="s">
        <v>50</v>
      </c>
      <c r="C885" s="23">
        <v>8.6499999999999994E-2</v>
      </c>
      <c r="D885" s="23">
        <v>9.2880000000000004E-2</v>
      </c>
      <c r="E885" s="23">
        <v>0.10050000000000001</v>
      </c>
      <c r="F885" s="23">
        <v>0.1255</v>
      </c>
      <c r="G885" s="23">
        <v>0.14574999999999999</v>
      </c>
      <c r="H885" s="23">
        <v>0.1595</v>
      </c>
      <c r="I885" s="23">
        <v>0.24625</v>
      </c>
    </row>
    <row r="886" spans="1:9" s="21" customFormat="1" ht="20.100000000000001" customHeight="1" x14ac:dyDescent="0.2">
      <c r="A886" s="22">
        <v>44378</v>
      </c>
      <c r="B886" s="23" t="s">
        <v>51</v>
      </c>
      <c r="C886" s="23">
        <v>8.0500000000000002E-2</v>
      </c>
      <c r="D886" s="23">
        <v>9.3380000000000005E-2</v>
      </c>
      <c r="E886" s="23">
        <v>0.10249999999999999</v>
      </c>
      <c r="F886" s="23">
        <v>0.12725</v>
      </c>
      <c r="G886" s="23">
        <v>0.14474999999999999</v>
      </c>
      <c r="H886" s="23">
        <v>0.16300000000000001</v>
      </c>
      <c r="I886" s="23">
        <v>0.24437999999999999</v>
      </c>
    </row>
    <row r="887" spans="1:9" s="21" customFormat="1" ht="20.100000000000001" customHeight="1" x14ac:dyDescent="0.2">
      <c r="A887" s="22">
        <v>44379</v>
      </c>
      <c r="B887" s="23" t="s">
        <v>52</v>
      </c>
      <c r="C887" s="23">
        <v>8.0500000000000002E-2</v>
      </c>
      <c r="D887" s="23">
        <v>9.1380000000000003E-2</v>
      </c>
      <c r="E887" s="23">
        <v>0.10288</v>
      </c>
      <c r="F887" s="23">
        <v>0.1225</v>
      </c>
      <c r="G887" s="23">
        <v>0.13788</v>
      </c>
      <c r="H887" s="23">
        <v>0.16300000000000001</v>
      </c>
      <c r="I887" s="23">
        <v>0.2445</v>
      </c>
    </row>
    <row r="888" spans="1:9" s="21" customFormat="1" ht="20.100000000000001" customHeight="1" x14ac:dyDescent="0.2">
      <c r="A888" s="22">
        <v>44382</v>
      </c>
      <c r="B888" s="23" t="s">
        <v>53</v>
      </c>
      <c r="C888" s="23"/>
      <c r="D888" s="23">
        <v>9.1630000000000003E-2</v>
      </c>
      <c r="E888" s="23">
        <v>0.10413</v>
      </c>
      <c r="F888" s="23">
        <v>0.12013</v>
      </c>
      <c r="G888" s="23">
        <v>0.13800000000000001</v>
      </c>
      <c r="H888" s="23">
        <v>0.16250000000000001</v>
      </c>
      <c r="I888" s="23">
        <v>0.24124999999999999</v>
      </c>
    </row>
    <row r="889" spans="1:9" s="21" customFormat="1" ht="20.100000000000001" customHeight="1" x14ac:dyDescent="0.2">
      <c r="A889" s="22">
        <v>44383</v>
      </c>
      <c r="B889" s="23" t="s">
        <v>49</v>
      </c>
      <c r="C889" s="23">
        <v>8.1629999999999994E-2</v>
      </c>
      <c r="D889" s="23">
        <v>9.0749999999999997E-2</v>
      </c>
      <c r="E889" s="23">
        <v>0.10213</v>
      </c>
      <c r="F889" s="23">
        <v>0.11625000000000001</v>
      </c>
      <c r="G889" s="23">
        <v>0.13488</v>
      </c>
      <c r="H889" s="23">
        <v>0.16638</v>
      </c>
      <c r="I889" s="23">
        <v>0.24224999999999999</v>
      </c>
    </row>
    <row r="890" spans="1:9" s="21" customFormat="1" ht="20.100000000000001" customHeight="1" x14ac:dyDescent="0.2">
      <c r="A890" s="22">
        <v>44384</v>
      </c>
      <c r="B890" s="23" t="s">
        <v>50</v>
      </c>
      <c r="C890" s="23">
        <v>8.5129999999999997E-2</v>
      </c>
      <c r="D890" s="23">
        <v>9.5380000000000006E-2</v>
      </c>
      <c r="E890" s="23">
        <v>0.10288</v>
      </c>
      <c r="F890" s="23">
        <v>0.11813</v>
      </c>
      <c r="G890" s="23">
        <v>0.12388</v>
      </c>
      <c r="H890" s="23">
        <v>0.16225000000000001</v>
      </c>
      <c r="I890" s="23">
        <v>0.24038000000000001</v>
      </c>
    </row>
    <row r="891" spans="1:9" s="21" customFormat="1" ht="20.100000000000001" customHeight="1" x14ac:dyDescent="0.2">
      <c r="A891" s="22">
        <v>44385</v>
      </c>
      <c r="B891" s="23" t="s">
        <v>51</v>
      </c>
      <c r="C891" s="23">
        <v>8.6129999999999998E-2</v>
      </c>
      <c r="D891" s="23">
        <v>9.1380000000000003E-2</v>
      </c>
      <c r="E891" s="23">
        <v>0.10038</v>
      </c>
      <c r="F891" s="23">
        <v>0.11438</v>
      </c>
      <c r="G891" s="23">
        <v>0.11899999999999999</v>
      </c>
      <c r="H891" s="23">
        <v>0.157</v>
      </c>
      <c r="I891" s="23">
        <v>0.23888000000000001</v>
      </c>
    </row>
    <row r="892" spans="1:9" s="21" customFormat="1" ht="20.100000000000001" customHeight="1" x14ac:dyDescent="0.2">
      <c r="A892" s="22">
        <v>44386</v>
      </c>
      <c r="B892" s="23" t="s">
        <v>52</v>
      </c>
      <c r="C892" s="23">
        <v>8.6629999999999999E-2</v>
      </c>
      <c r="D892" s="23">
        <v>9.0130000000000002E-2</v>
      </c>
      <c r="E892" s="23">
        <v>0.10013</v>
      </c>
      <c r="F892" s="23">
        <v>0.11724999999999999</v>
      </c>
      <c r="G892" s="23">
        <v>0.12862999999999999</v>
      </c>
      <c r="H892" s="23">
        <v>0.151</v>
      </c>
      <c r="I892" s="23">
        <v>0.23888000000000001</v>
      </c>
    </row>
    <row r="893" spans="1:9" s="21" customFormat="1" ht="20.100000000000001" customHeight="1" x14ac:dyDescent="0.2">
      <c r="A893" s="22">
        <v>44389</v>
      </c>
      <c r="B893" s="23" t="s">
        <v>53</v>
      </c>
      <c r="C893" s="23">
        <v>8.6749999999999994E-2</v>
      </c>
      <c r="D893" s="23">
        <v>8.7999999999999995E-2</v>
      </c>
      <c r="E893" s="23">
        <v>9.5750000000000002E-2</v>
      </c>
      <c r="F893" s="23">
        <v>0.11550000000000001</v>
      </c>
      <c r="G893" s="23">
        <v>0.13288</v>
      </c>
      <c r="H893" s="23">
        <v>0.15437999999999999</v>
      </c>
      <c r="I893" s="23">
        <v>0.2445</v>
      </c>
    </row>
    <row r="894" spans="1:9" s="21" customFormat="1" ht="20.100000000000001" customHeight="1" x14ac:dyDescent="0.2">
      <c r="A894" s="22">
        <v>44390</v>
      </c>
      <c r="B894" s="23" t="s">
        <v>49</v>
      </c>
      <c r="C894" s="23">
        <v>8.5629999999999998E-2</v>
      </c>
      <c r="D894" s="23">
        <v>8.788E-2</v>
      </c>
      <c r="E894" s="23">
        <v>9.3130000000000004E-2</v>
      </c>
      <c r="F894" s="23">
        <v>0.12175</v>
      </c>
      <c r="G894" s="23">
        <v>0.12612999999999999</v>
      </c>
      <c r="H894" s="23">
        <v>0.1515</v>
      </c>
      <c r="I894" s="23">
        <v>0.24324999999999999</v>
      </c>
    </row>
    <row r="895" spans="1:9" s="21" customFormat="1" ht="20.100000000000001" customHeight="1" x14ac:dyDescent="0.2">
      <c r="A895" s="22">
        <v>44391</v>
      </c>
      <c r="B895" s="23" t="s">
        <v>50</v>
      </c>
      <c r="C895" s="23">
        <v>8.5379999999999998E-2</v>
      </c>
      <c r="D895" s="23">
        <v>9.1999999999999998E-2</v>
      </c>
      <c r="E895" s="23">
        <v>9.1130000000000003E-2</v>
      </c>
      <c r="F895" s="23">
        <v>0.11638</v>
      </c>
      <c r="G895" s="23">
        <v>0.12637999999999999</v>
      </c>
      <c r="H895" s="23">
        <v>0.15075</v>
      </c>
      <c r="I895" s="23">
        <v>0.24299999999999999</v>
      </c>
    </row>
    <row r="896" spans="1:9" s="21" customFormat="1" ht="20.100000000000001" customHeight="1" x14ac:dyDescent="0.2">
      <c r="A896" s="22">
        <v>44392</v>
      </c>
      <c r="B896" s="23" t="s">
        <v>51</v>
      </c>
      <c r="C896" s="23">
        <v>8.5629999999999998E-2</v>
      </c>
      <c r="D896" s="23">
        <v>9.0249999999999997E-2</v>
      </c>
      <c r="E896" s="23">
        <v>8.9130000000000001E-2</v>
      </c>
      <c r="F896" s="23">
        <v>0.1145</v>
      </c>
      <c r="G896" s="23">
        <v>0.13388</v>
      </c>
      <c r="H896" s="23">
        <v>0.15325</v>
      </c>
      <c r="I896" s="23">
        <v>0.24099999999999999</v>
      </c>
    </row>
    <row r="897" spans="1:9" s="21" customFormat="1" ht="20.100000000000001" customHeight="1" x14ac:dyDescent="0.2">
      <c r="A897" s="22">
        <v>44393</v>
      </c>
      <c r="B897" s="23" t="s">
        <v>52</v>
      </c>
      <c r="C897" s="23">
        <v>8.5750000000000007E-2</v>
      </c>
      <c r="D897" s="23">
        <v>0.09</v>
      </c>
      <c r="E897" s="23">
        <v>8.3629999999999996E-2</v>
      </c>
      <c r="F897" s="23">
        <v>0.11075</v>
      </c>
      <c r="G897" s="23">
        <v>0.13425000000000001</v>
      </c>
      <c r="H897" s="23">
        <v>0.15212999999999999</v>
      </c>
      <c r="I897" s="23">
        <v>0.24213000000000001</v>
      </c>
    </row>
    <row r="898" spans="1:9" s="21" customFormat="1" ht="20.100000000000001" customHeight="1" x14ac:dyDescent="0.2">
      <c r="A898" s="22">
        <v>44396</v>
      </c>
      <c r="B898" s="23" t="s">
        <v>53</v>
      </c>
      <c r="C898" s="23">
        <v>8.5999999999999993E-2</v>
      </c>
      <c r="D898" s="23">
        <v>8.9499999999999996E-2</v>
      </c>
      <c r="E898" s="23">
        <v>8.5250000000000006E-2</v>
      </c>
      <c r="F898" s="23">
        <v>0.11237999999999999</v>
      </c>
      <c r="G898" s="23">
        <v>0.13425000000000001</v>
      </c>
      <c r="H898" s="23">
        <v>0.15175</v>
      </c>
      <c r="I898" s="23">
        <v>0.24163000000000001</v>
      </c>
    </row>
    <row r="899" spans="1:9" s="21" customFormat="1" ht="20.100000000000001" customHeight="1" x14ac:dyDescent="0.2">
      <c r="A899" s="22">
        <v>44397</v>
      </c>
      <c r="B899" s="23" t="s">
        <v>49</v>
      </c>
      <c r="C899" s="23">
        <v>8.5500000000000007E-2</v>
      </c>
      <c r="D899" s="23">
        <v>8.6379999999999998E-2</v>
      </c>
      <c r="E899" s="23">
        <v>8.8999999999999996E-2</v>
      </c>
      <c r="F899" s="23">
        <v>0.11724999999999999</v>
      </c>
      <c r="G899" s="23">
        <v>0.13825000000000001</v>
      </c>
      <c r="H899" s="23">
        <v>0.15275</v>
      </c>
      <c r="I899" s="23">
        <v>0.24174999999999999</v>
      </c>
    </row>
    <row r="900" spans="1:9" s="21" customFormat="1" ht="20.100000000000001" customHeight="1" x14ac:dyDescent="0.2">
      <c r="A900" s="22">
        <v>44398</v>
      </c>
      <c r="B900" s="23" t="s">
        <v>50</v>
      </c>
      <c r="C900" s="23">
        <v>8.3879999999999996E-2</v>
      </c>
      <c r="D900" s="23">
        <v>8.813E-2</v>
      </c>
      <c r="E900" s="23">
        <v>8.6629999999999999E-2</v>
      </c>
      <c r="F900" s="23">
        <v>0.11600000000000001</v>
      </c>
      <c r="G900" s="23">
        <v>0.13788</v>
      </c>
      <c r="H900" s="23">
        <v>0.15312999999999999</v>
      </c>
      <c r="I900" s="23">
        <v>0.24299999999999999</v>
      </c>
    </row>
    <row r="901" spans="1:9" s="21" customFormat="1" ht="20.100000000000001" customHeight="1" x14ac:dyDescent="0.2">
      <c r="A901" s="22">
        <v>44399</v>
      </c>
      <c r="B901" s="23" t="s">
        <v>51</v>
      </c>
      <c r="C901" s="23">
        <v>8.3379999999999996E-2</v>
      </c>
      <c r="D901" s="23">
        <v>8.788E-2</v>
      </c>
      <c r="E901" s="23">
        <v>8.9249999999999996E-2</v>
      </c>
      <c r="F901" s="23">
        <v>0.1145</v>
      </c>
      <c r="G901" s="23">
        <v>0.12525</v>
      </c>
      <c r="H901" s="23">
        <v>0.15725</v>
      </c>
      <c r="I901" s="23">
        <v>0.24399999999999999</v>
      </c>
    </row>
    <row r="902" spans="1:9" s="21" customFormat="1" ht="20.100000000000001" customHeight="1" x14ac:dyDescent="0.2">
      <c r="A902" s="22">
        <v>44400</v>
      </c>
      <c r="B902" s="23" t="s">
        <v>52</v>
      </c>
      <c r="C902" s="23">
        <v>8.0130000000000007E-2</v>
      </c>
      <c r="D902" s="23">
        <v>8.4379999999999997E-2</v>
      </c>
      <c r="E902" s="23">
        <v>8.6129999999999998E-2</v>
      </c>
      <c r="F902" s="23">
        <v>0.111</v>
      </c>
      <c r="G902" s="23">
        <v>0.12887999999999999</v>
      </c>
      <c r="H902" s="23">
        <v>0.1585</v>
      </c>
      <c r="I902" s="23">
        <v>0.24138000000000001</v>
      </c>
    </row>
    <row r="903" spans="1:9" s="21" customFormat="1" ht="20.100000000000001" customHeight="1" x14ac:dyDescent="0.2">
      <c r="A903" s="22">
        <v>44403</v>
      </c>
      <c r="B903" s="23" t="s">
        <v>53</v>
      </c>
      <c r="C903" s="23">
        <v>8.1000000000000003E-2</v>
      </c>
      <c r="D903" s="23">
        <v>8.3129999999999996E-2</v>
      </c>
      <c r="E903" s="23">
        <v>8.7249999999999994E-2</v>
      </c>
      <c r="F903" s="23">
        <v>0.11025</v>
      </c>
      <c r="G903" s="23">
        <v>0.13163</v>
      </c>
      <c r="H903" s="23">
        <v>0.15725</v>
      </c>
      <c r="I903" s="23">
        <v>0.23863000000000001</v>
      </c>
    </row>
    <row r="904" spans="1:9" s="21" customFormat="1" ht="20.100000000000001" customHeight="1" x14ac:dyDescent="0.2">
      <c r="A904" s="22">
        <v>44404</v>
      </c>
      <c r="B904" s="23" t="s">
        <v>49</v>
      </c>
      <c r="C904" s="23">
        <v>8.0879999999999994E-2</v>
      </c>
      <c r="D904" s="23">
        <v>8.4129999999999996E-2</v>
      </c>
      <c r="E904" s="23">
        <v>9.0130000000000002E-2</v>
      </c>
      <c r="F904" s="23">
        <v>0.11038000000000001</v>
      </c>
      <c r="G904" s="23">
        <v>0.12963</v>
      </c>
      <c r="H904" s="23">
        <v>0.1585</v>
      </c>
      <c r="I904" s="23">
        <v>0.23899999999999999</v>
      </c>
    </row>
    <row r="905" spans="1:9" s="21" customFormat="1" ht="20.100000000000001" customHeight="1" x14ac:dyDescent="0.2">
      <c r="A905" s="22">
        <v>44405</v>
      </c>
      <c r="B905" s="23" t="s">
        <v>50</v>
      </c>
      <c r="C905" s="23">
        <v>7.9630000000000006E-2</v>
      </c>
      <c r="D905" s="23">
        <v>8.7129999999999999E-2</v>
      </c>
      <c r="E905" s="23">
        <v>9.1999999999999998E-2</v>
      </c>
      <c r="F905" s="23">
        <v>0.107</v>
      </c>
      <c r="G905" s="23">
        <v>0.1285</v>
      </c>
      <c r="H905" s="23">
        <v>0.154</v>
      </c>
      <c r="I905" s="23">
        <v>0.23713000000000001</v>
      </c>
    </row>
    <row r="906" spans="1:9" s="21" customFormat="1" ht="20.100000000000001" customHeight="1" x14ac:dyDescent="0.2">
      <c r="A906" s="22">
        <v>44406</v>
      </c>
      <c r="B906" s="23" t="s">
        <v>51</v>
      </c>
      <c r="C906" s="23">
        <v>7.9380000000000006E-2</v>
      </c>
      <c r="D906" s="23">
        <v>8.7129999999999999E-2</v>
      </c>
      <c r="E906" s="23">
        <v>9.5750000000000002E-2</v>
      </c>
      <c r="F906" s="23">
        <v>0.10513</v>
      </c>
      <c r="G906" s="23">
        <v>0.12575</v>
      </c>
      <c r="H906" s="23">
        <v>0.15387999999999999</v>
      </c>
      <c r="I906" s="23">
        <v>0.23699999999999999</v>
      </c>
    </row>
    <row r="907" spans="1:9" s="21" customFormat="1" ht="20.100000000000001" customHeight="1" x14ac:dyDescent="0.2">
      <c r="A907" s="22">
        <v>44407</v>
      </c>
      <c r="B907" s="23" t="s">
        <v>52</v>
      </c>
      <c r="C907" s="23">
        <v>7.6880000000000004E-2</v>
      </c>
      <c r="D907" s="23">
        <v>8.6749999999999994E-2</v>
      </c>
      <c r="E907" s="23">
        <v>9.0499999999999997E-2</v>
      </c>
      <c r="F907" s="23">
        <v>0.10338</v>
      </c>
      <c r="G907" s="23">
        <v>0.11774999999999999</v>
      </c>
      <c r="H907" s="23">
        <v>0.15312999999999999</v>
      </c>
      <c r="I907" s="23">
        <v>0.23513000000000001</v>
      </c>
    </row>
    <row r="908" spans="1:9" s="21" customFormat="1" ht="20.100000000000001" customHeight="1" x14ac:dyDescent="0.2">
      <c r="A908" s="22">
        <v>44410</v>
      </c>
      <c r="B908" s="23" t="s">
        <v>53</v>
      </c>
      <c r="C908" s="23">
        <v>7.9500000000000001E-2</v>
      </c>
      <c r="D908" s="23">
        <v>8.7129999999999999E-2</v>
      </c>
      <c r="E908" s="23">
        <v>8.9630000000000001E-2</v>
      </c>
      <c r="F908" s="23">
        <v>0.1085</v>
      </c>
      <c r="G908" s="23">
        <v>0.12375</v>
      </c>
      <c r="H908" s="23">
        <v>0.15662999999999999</v>
      </c>
      <c r="I908" s="23">
        <v>0.23238</v>
      </c>
    </row>
    <row r="909" spans="1:9" s="21" customFormat="1" ht="20.100000000000001" customHeight="1" x14ac:dyDescent="0.2">
      <c r="A909" s="22">
        <v>44411</v>
      </c>
      <c r="B909" s="23" t="s">
        <v>49</v>
      </c>
      <c r="C909" s="23">
        <v>8.1379999999999994E-2</v>
      </c>
      <c r="D909" s="23">
        <v>8.5500000000000007E-2</v>
      </c>
      <c r="E909" s="23">
        <v>9.0380000000000002E-2</v>
      </c>
      <c r="F909" s="23">
        <v>0.10525</v>
      </c>
      <c r="G909" s="23">
        <v>0.12138</v>
      </c>
      <c r="H909" s="23">
        <v>0.15512999999999999</v>
      </c>
      <c r="I909" s="23">
        <v>0.23213</v>
      </c>
    </row>
    <row r="910" spans="1:9" s="21" customFormat="1" ht="20.100000000000001" customHeight="1" x14ac:dyDescent="0.2">
      <c r="A910" s="22">
        <v>44412</v>
      </c>
      <c r="B910" s="23" t="s">
        <v>50</v>
      </c>
      <c r="C910" s="23">
        <v>8.1500000000000003E-2</v>
      </c>
      <c r="D910" s="23">
        <v>8.6629999999999999E-2</v>
      </c>
      <c r="E910" s="23">
        <v>8.9249999999999996E-2</v>
      </c>
      <c r="F910" s="23">
        <v>0.10675</v>
      </c>
      <c r="G910" s="23">
        <v>0.12175</v>
      </c>
      <c r="H910" s="23">
        <v>0.155</v>
      </c>
      <c r="I910" s="23">
        <v>0.22988</v>
      </c>
    </row>
    <row r="911" spans="1:9" s="21" customFormat="1" ht="20.100000000000001" customHeight="1" x14ac:dyDescent="0.2">
      <c r="A911" s="22">
        <v>44413</v>
      </c>
      <c r="B911" s="23" t="s">
        <v>51</v>
      </c>
      <c r="C911" s="23">
        <v>7.9000000000000001E-2</v>
      </c>
      <c r="D911" s="23">
        <v>8.7499999999999994E-2</v>
      </c>
      <c r="E911" s="23">
        <v>9.5750000000000002E-2</v>
      </c>
      <c r="F911" s="23">
        <v>0.1115</v>
      </c>
      <c r="G911" s="23">
        <v>0.12537999999999999</v>
      </c>
      <c r="H911" s="23">
        <v>0.14849999999999999</v>
      </c>
      <c r="I911" s="23">
        <v>0.23163</v>
      </c>
    </row>
    <row r="912" spans="1:9" s="21" customFormat="1" ht="20.100000000000001" customHeight="1" x14ac:dyDescent="0.2">
      <c r="A912" s="22">
        <v>44414</v>
      </c>
      <c r="B912" s="23" t="s">
        <v>52</v>
      </c>
      <c r="C912" s="23">
        <v>7.85E-2</v>
      </c>
      <c r="D912" s="23">
        <v>8.6629999999999999E-2</v>
      </c>
      <c r="E912" s="23">
        <v>9.5130000000000006E-2</v>
      </c>
      <c r="F912" s="23">
        <v>0.10625</v>
      </c>
      <c r="G912" s="23">
        <v>0.12837999999999999</v>
      </c>
      <c r="H912" s="23">
        <v>0.14938000000000001</v>
      </c>
      <c r="I912" s="23">
        <v>0.23738000000000001</v>
      </c>
    </row>
    <row r="913" spans="1:9" s="21" customFormat="1" ht="20.100000000000001" customHeight="1" x14ac:dyDescent="0.2">
      <c r="A913" s="22">
        <v>44417</v>
      </c>
      <c r="B913" s="23" t="s">
        <v>53</v>
      </c>
      <c r="C913" s="23">
        <v>7.8750000000000001E-2</v>
      </c>
      <c r="D913" s="23">
        <v>0.09</v>
      </c>
      <c r="E913" s="23">
        <v>9.5250000000000001E-2</v>
      </c>
      <c r="F913" s="23">
        <v>0.10988000000000001</v>
      </c>
      <c r="G913" s="23">
        <v>0.12725</v>
      </c>
      <c r="H913" s="23">
        <v>0.14963000000000001</v>
      </c>
      <c r="I913" s="23">
        <v>0.23774999999999999</v>
      </c>
    </row>
    <row r="914" spans="1:9" s="21" customFormat="1" ht="20.100000000000001" customHeight="1" x14ac:dyDescent="0.2">
      <c r="A914" s="22">
        <v>44418</v>
      </c>
      <c r="B914" s="23" t="s">
        <v>49</v>
      </c>
      <c r="C914" s="23">
        <v>7.8630000000000005E-2</v>
      </c>
      <c r="D914" s="23">
        <v>8.6249999999999993E-2</v>
      </c>
      <c r="E914" s="23">
        <v>9.6500000000000002E-2</v>
      </c>
      <c r="F914" s="23">
        <v>0.10875</v>
      </c>
      <c r="G914" s="23">
        <v>0.12275</v>
      </c>
      <c r="H914" s="23">
        <v>0.15625</v>
      </c>
      <c r="I914" s="23">
        <v>0.23963000000000001</v>
      </c>
    </row>
    <row r="915" spans="1:9" s="21" customFormat="1" ht="20.100000000000001" customHeight="1" x14ac:dyDescent="0.2">
      <c r="A915" s="22">
        <v>44419</v>
      </c>
      <c r="B915" s="23" t="s">
        <v>50</v>
      </c>
      <c r="C915" s="23">
        <v>7.8630000000000005E-2</v>
      </c>
      <c r="D915" s="23">
        <v>8.6999999999999994E-2</v>
      </c>
      <c r="E915" s="23">
        <v>9.6629999999999994E-2</v>
      </c>
      <c r="F915" s="23">
        <v>0.10663</v>
      </c>
      <c r="G915" s="23">
        <v>0.12125</v>
      </c>
      <c r="H915" s="23">
        <v>0.15737999999999999</v>
      </c>
      <c r="I915" s="23">
        <v>0.24288000000000001</v>
      </c>
    </row>
    <row r="916" spans="1:9" s="21" customFormat="1" ht="20.100000000000001" customHeight="1" x14ac:dyDescent="0.2">
      <c r="A916" s="22">
        <v>44420</v>
      </c>
      <c r="B916" s="23" t="s">
        <v>51</v>
      </c>
      <c r="C916" s="23">
        <v>7.8E-2</v>
      </c>
      <c r="D916" s="23">
        <v>8.6499999999999994E-2</v>
      </c>
      <c r="E916" s="23">
        <v>9.5500000000000002E-2</v>
      </c>
      <c r="F916" s="23">
        <v>0.10838</v>
      </c>
      <c r="G916" s="23">
        <v>0.12475</v>
      </c>
      <c r="H916" s="23">
        <v>0.15737999999999999</v>
      </c>
      <c r="I916" s="23">
        <v>0.23988000000000001</v>
      </c>
    </row>
    <row r="917" spans="1:9" s="21" customFormat="1" ht="20.100000000000001" customHeight="1" x14ac:dyDescent="0.2">
      <c r="A917" s="22">
        <v>44421</v>
      </c>
      <c r="B917" s="23" t="s">
        <v>52</v>
      </c>
      <c r="C917" s="23">
        <v>7.7630000000000005E-2</v>
      </c>
      <c r="D917" s="23">
        <v>8.6999999999999994E-2</v>
      </c>
      <c r="E917" s="23">
        <v>9.2749999999999999E-2</v>
      </c>
      <c r="F917" s="23">
        <v>0.10663</v>
      </c>
      <c r="G917" s="23">
        <v>0.12425</v>
      </c>
      <c r="H917" s="23">
        <v>0.15662999999999999</v>
      </c>
      <c r="I917" s="23">
        <v>0.23874999999999999</v>
      </c>
    </row>
    <row r="918" spans="1:9" s="21" customFormat="1" ht="20.100000000000001" customHeight="1" x14ac:dyDescent="0.2">
      <c r="A918" s="22">
        <v>44424</v>
      </c>
      <c r="B918" s="23" t="s">
        <v>53</v>
      </c>
      <c r="C918" s="23">
        <v>7.825E-2</v>
      </c>
      <c r="D918" s="23">
        <v>8.763E-2</v>
      </c>
      <c r="E918" s="23">
        <v>8.8499999999999995E-2</v>
      </c>
      <c r="F918" s="23">
        <v>0.10475</v>
      </c>
      <c r="G918" s="23">
        <v>0.1245</v>
      </c>
      <c r="H918" s="23">
        <v>0.15537999999999999</v>
      </c>
      <c r="I918" s="23">
        <v>0.23674999999999999</v>
      </c>
    </row>
    <row r="919" spans="1:9" s="21" customFormat="1" ht="20.100000000000001" customHeight="1" x14ac:dyDescent="0.2">
      <c r="A919" s="22">
        <v>44425</v>
      </c>
      <c r="B919" s="23" t="s">
        <v>49</v>
      </c>
      <c r="C919" s="23">
        <v>7.7880000000000005E-2</v>
      </c>
      <c r="D919" s="23">
        <v>8.5879999999999998E-2</v>
      </c>
      <c r="E919" s="23">
        <v>8.6499999999999994E-2</v>
      </c>
      <c r="F919" s="23">
        <v>0.10388</v>
      </c>
      <c r="G919" s="23">
        <v>0.12725</v>
      </c>
      <c r="H919" s="23">
        <v>0.15625</v>
      </c>
      <c r="I919" s="23">
        <v>0.23549999999999999</v>
      </c>
    </row>
    <row r="920" spans="1:9" s="21" customFormat="1" ht="20.100000000000001" customHeight="1" x14ac:dyDescent="0.2">
      <c r="A920" s="22">
        <v>44426</v>
      </c>
      <c r="B920" s="23" t="s">
        <v>50</v>
      </c>
      <c r="C920" s="23">
        <v>7.8630000000000005E-2</v>
      </c>
      <c r="D920" s="23">
        <v>8.5999999999999993E-2</v>
      </c>
      <c r="E920" s="23">
        <v>8.838E-2</v>
      </c>
      <c r="F920" s="23">
        <v>0.10563</v>
      </c>
      <c r="G920" s="23">
        <v>0.13088</v>
      </c>
      <c r="H920" s="23">
        <v>0.15837999999999999</v>
      </c>
      <c r="I920" s="23">
        <v>0.23499999999999999</v>
      </c>
    </row>
    <row r="921" spans="1:9" s="21" customFormat="1" ht="20.100000000000001" customHeight="1" x14ac:dyDescent="0.2">
      <c r="A921" s="22">
        <v>44427</v>
      </c>
      <c r="B921" s="23" t="s">
        <v>51</v>
      </c>
      <c r="C921" s="23">
        <v>7.85E-2</v>
      </c>
      <c r="D921" s="23">
        <v>8.5379999999999998E-2</v>
      </c>
      <c r="E921" s="23">
        <v>8.788E-2</v>
      </c>
      <c r="F921" s="23">
        <v>0.10013</v>
      </c>
      <c r="G921" s="23">
        <v>0.13075000000000001</v>
      </c>
      <c r="H921" s="23">
        <v>0.15462999999999999</v>
      </c>
      <c r="I921" s="23">
        <v>0.23524999999999999</v>
      </c>
    </row>
    <row r="922" spans="1:9" s="21" customFormat="1" ht="20.100000000000001" customHeight="1" x14ac:dyDescent="0.2">
      <c r="A922" s="22">
        <v>44428</v>
      </c>
      <c r="B922" s="23" t="s">
        <v>52</v>
      </c>
      <c r="C922" s="23">
        <v>7.7380000000000004E-2</v>
      </c>
      <c r="D922" s="23">
        <v>8.2750000000000004E-2</v>
      </c>
      <c r="E922" s="23">
        <v>8.5879999999999998E-2</v>
      </c>
      <c r="F922" s="23">
        <v>0.10063</v>
      </c>
      <c r="G922" s="23">
        <v>0.12837999999999999</v>
      </c>
      <c r="H922" s="23">
        <v>0.15262999999999999</v>
      </c>
      <c r="I922" s="23">
        <v>0.23663000000000001</v>
      </c>
    </row>
    <row r="923" spans="1:9" s="21" customFormat="1" ht="20.100000000000001" customHeight="1" x14ac:dyDescent="0.2">
      <c r="A923" s="22">
        <v>44431</v>
      </c>
      <c r="B923" s="23" t="s">
        <v>53</v>
      </c>
      <c r="C923" s="23">
        <v>7.775E-2</v>
      </c>
      <c r="D923" s="23">
        <v>8.3500000000000005E-2</v>
      </c>
      <c r="E923" s="23">
        <v>8.4379999999999997E-2</v>
      </c>
      <c r="F923" s="23">
        <v>0.10163</v>
      </c>
      <c r="G923" s="23">
        <v>0.12925</v>
      </c>
      <c r="H923" s="23">
        <v>0.153</v>
      </c>
      <c r="I923" s="23">
        <v>0.23699999999999999</v>
      </c>
    </row>
    <row r="924" spans="1:9" s="21" customFormat="1" ht="20.100000000000001" customHeight="1" x14ac:dyDescent="0.2">
      <c r="A924" s="22">
        <v>44432</v>
      </c>
      <c r="B924" s="23" t="s">
        <v>49</v>
      </c>
      <c r="C924" s="23">
        <v>7.7630000000000005E-2</v>
      </c>
      <c r="D924" s="23">
        <v>8.2000000000000003E-2</v>
      </c>
      <c r="E924" s="23">
        <v>8.8880000000000001E-2</v>
      </c>
      <c r="F924" s="23">
        <v>0.10274999999999999</v>
      </c>
      <c r="G924" s="23">
        <v>0.12175</v>
      </c>
      <c r="H924" s="23">
        <v>0.158</v>
      </c>
      <c r="I924" s="23">
        <v>0.23688000000000001</v>
      </c>
    </row>
    <row r="925" spans="1:9" s="21" customFormat="1" ht="20.100000000000001" customHeight="1" x14ac:dyDescent="0.2">
      <c r="A925" s="22">
        <v>44433</v>
      </c>
      <c r="B925" s="23" t="s">
        <v>50</v>
      </c>
      <c r="C925" s="23">
        <v>7.6380000000000003E-2</v>
      </c>
      <c r="D925" s="23">
        <v>8.5750000000000007E-2</v>
      </c>
      <c r="E925" s="23">
        <v>8.788E-2</v>
      </c>
      <c r="F925" s="23">
        <v>0.10224999999999999</v>
      </c>
      <c r="G925" s="23">
        <v>0.12375</v>
      </c>
      <c r="H925" s="23">
        <v>0.158</v>
      </c>
      <c r="I925" s="23">
        <v>0.23749999999999999</v>
      </c>
    </row>
    <row r="926" spans="1:9" s="21" customFormat="1" ht="20.100000000000001" customHeight="1" x14ac:dyDescent="0.2">
      <c r="A926" s="22">
        <v>44434</v>
      </c>
      <c r="B926" s="23" t="s">
        <v>51</v>
      </c>
      <c r="C926" s="23">
        <v>7.5749999999999998E-2</v>
      </c>
      <c r="D926" s="23">
        <v>8.4129999999999996E-2</v>
      </c>
      <c r="E926" s="23">
        <v>8.4629999999999997E-2</v>
      </c>
      <c r="F926" s="23">
        <v>9.8629999999999995E-2</v>
      </c>
      <c r="G926" s="23">
        <v>0.12075</v>
      </c>
      <c r="H926" s="23">
        <v>0.15787999999999999</v>
      </c>
      <c r="I926" s="23">
        <v>0.23538000000000001</v>
      </c>
    </row>
    <row r="927" spans="1:9" s="21" customFormat="1" ht="20.100000000000001" customHeight="1" x14ac:dyDescent="0.2">
      <c r="A927" s="22">
        <v>44435</v>
      </c>
      <c r="B927" s="23" t="s">
        <v>52</v>
      </c>
      <c r="C927" s="23">
        <v>7.6130000000000003E-2</v>
      </c>
      <c r="D927" s="23">
        <v>8.2879999999999995E-2</v>
      </c>
      <c r="E927" s="23">
        <v>8.5999999999999993E-2</v>
      </c>
      <c r="F927" s="23">
        <v>9.8129999999999995E-2</v>
      </c>
      <c r="G927" s="23">
        <v>0.11988</v>
      </c>
      <c r="H927" s="23">
        <v>0.15475</v>
      </c>
      <c r="I927" s="23">
        <v>0.23513000000000001</v>
      </c>
    </row>
    <row r="928" spans="1:9" s="21" customFormat="1" ht="20.100000000000001" customHeight="1" x14ac:dyDescent="0.2">
      <c r="A928" s="22">
        <v>44439</v>
      </c>
      <c r="B928" s="23" t="s">
        <v>49</v>
      </c>
      <c r="C928" s="23">
        <v>7.3380000000000001E-2</v>
      </c>
      <c r="D928" s="23">
        <v>7.85E-2</v>
      </c>
      <c r="E928" s="23">
        <v>8.2500000000000004E-2</v>
      </c>
      <c r="F928" s="23">
        <v>9.5250000000000001E-2</v>
      </c>
      <c r="G928" s="23">
        <v>0.11963</v>
      </c>
      <c r="H928" s="23">
        <v>0.14963000000000001</v>
      </c>
      <c r="I928" s="23">
        <v>0.22788</v>
      </c>
    </row>
    <row r="929" spans="1:9" s="21" customFormat="1" ht="20.100000000000001" customHeight="1" x14ac:dyDescent="0.2">
      <c r="A929" s="22">
        <v>44440</v>
      </c>
      <c r="B929" s="23" t="s">
        <v>50</v>
      </c>
      <c r="C929" s="23">
        <v>7.288E-2</v>
      </c>
      <c r="D929" s="23">
        <v>7.6999999999999999E-2</v>
      </c>
      <c r="E929" s="23">
        <v>8.3250000000000005E-2</v>
      </c>
      <c r="F929" s="23">
        <v>9.6629999999999994E-2</v>
      </c>
      <c r="G929" s="23">
        <v>0.11888</v>
      </c>
      <c r="H929" s="23">
        <v>0.15187999999999999</v>
      </c>
      <c r="I929" s="23">
        <v>0.22763</v>
      </c>
    </row>
    <row r="930" spans="1:9" s="21" customFormat="1" ht="20.100000000000001" customHeight="1" x14ac:dyDescent="0.2">
      <c r="A930" s="22">
        <v>44441</v>
      </c>
      <c r="B930" s="23" t="s">
        <v>51</v>
      </c>
      <c r="C930" s="23">
        <v>7.3499999999999996E-2</v>
      </c>
      <c r="D930" s="23">
        <v>7.6249999999999998E-2</v>
      </c>
      <c r="E930" s="23">
        <v>8.2879999999999995E-2</v>
      </c>
      <c r="F930" s="23">
        <v>9.2630000000000004E-2</v>
      </c>
      <c r="G930" s="23">
        <v>0.11763</v>
      </c>
      <c r="H930" s="23">
        <v>0.14763000000000001</v>
      </c>
      <c r="I930" s="23">
        <v>0.22275</v>
      </c>
    </row>
    <row r="931" spans="1:9" s="21" customFormat="1" ht="20.100000000000001" customHeight="1" x14ac:dyDescent="0.2">
      <c r="A931" s="22">
        <v>44442</v>
      </c>
      <c r="B931" s="23" t="s">
        <v>52</v>
      </c>
      <c r="C931" s="23">
        <v>7.0749999999999993E-2</v>
      </c>
      <c r="D931" s="23">
        <v>7.4880000000000002E-2</v>
      </c>
      <c r="E931" s="23">
        <v>8.2879999999999995E-2</v>
      </c>
      <c r="F931" s="23">
        <v>9.6129999999999993E-2</v>
      </c>
      <c r="G931" s="23">
        <v>0.11550000000000001</v>
      </c>
      <c r="H931" s="23">
        <v>0.14838000000000001</v>
      </c>
      <c r="I931" s="23">
        <v>0.22275</v>
      </c>
    </row>
    <row r="932" spans="1:9" s="21" customFormat="1" ht="20.100000000000001" customHeight="1" x14ac:dyDescent="0.2">
      <c r="A932" s="22">
        <v>44445</v>
      </c>
      <c r="B932" s="23" t="s">
        <v>53</v>
      </c>
      <c r="C932" s="23"/>
      <c r="D932" s="23">
        <v>7.3249999999999996E-2</v>
      </c>
      <c r="E932" s="23">
        <v>8.3000000000000004E-2</v>
      </c>
      <c r="F932" s="23">
        <v>9.6000000000000002E-2</v>
      </c>
      <c r="G932" s="23">
        <v>0.11463</v>
      </c>
      <c r="H932" s="23">
        <v>0.14874999999999999</v>
      </c>
      <c r="I932" s="23">
        <v>0.2195</v>
      </c>
    </row>
    <row r="933" spans="1:9" s="21" customFormat="1" ht="20.100000000000001" customHeight="1" x14ac:dyDescent="0.2">
      <c r="A933" s="22">
        <v>44446</v>
      </c>
      <c r="B933" s="23" t="s">
        <v>49</v>
      </c>
      <c r="C933" s="23">
        <v>7.288E-2</v>
      </c>
      <c r="D933" s="23">
        <v>6.9000000000000006E-2</v>
      </c>
      <c r="E933" s="23">
        <v>8.3129999999999996E-2</v>
      </c>
      <c r="F933" s="23">
        <v>9.7250000000000003E-2</v>
      </c>
      <c r="G933" s="23">
        <v>0.11600000000000001</v>
      </c>
      <c r="H933" s="23">
        <v>0.14813000000000001</v>
      </c>
      <c r="I933" s="23">
        <v>0.22</v>
      </c>
    </row>
    <row r="934" spans="1:9" s="21" customFormat="1" ht="20.100000000000001" customHeight="1" x14ac:dyDescent="0.2">
      <c r="A934" s="22">
        <v>44447</v>
      </c>
      <c r="B934" s="23" t="s">
        <v>50</v>
      </c>
      <c r="C934" s="23">
        <v>6.9629999999999997E-2</v>
      </c>
      <c r="D934" s="23">
        <v>7.1129999999999999E-2</v>
      </c>
      <c r="E934" s="23">
        <v>8.4750000000000006E-2</v>
      </c>
      <c r="F934" s="23">
        <v>9.6879999999999994E-2</v>
      </c>
      <c r="G934" s="23">
        <v>0.11575000000000001</v>
      </c>
      <c r="H934" s="23">
        <v>0.14974999999999999</v>
      </c>
      <c r="I934" s="23">
        <v>0.22313</v>
      </c>
    </row>
    <row r="935" spans="1:9" s="21" customFormat="1" ht="20.100000000000001" customHeight="1" x14ac:dyDescent="0.2">
      <c r="A935" s="22">
        <v>44448</v>
      </c>
      <c r="B935" s="23" t="s">
        <v>51</v>
      </c>
      <c r="C935" s="23">
        <v>7.1879999999999999E-2</v>
      </c>
      <c r="D935" s="23">
        <v>7.1129999999999999E-2</v>
      </c>
      <c r="E935" s="23">
        <v>8.2629999999999995E-2</v>
      </c>
      <c r="F935" s="23">
        <v>9.7000000000000003E-2</v>
      </c>
      <c r="G935" s="23">
        <v>0.11413</v>
      </c>
      <c r="H935" s="23">
        <v>0.14663000000000001</v>
      </c>
      <c r="I935" s="23">
        <v>0.22388</v>
      </c>
    </row>
    <row r="936" spans="1:9" s="21" customFormat="1" ht="20.100000000000001" customHeight="1" x14ac:dyDescent="0.2">
      <c r="A936" s="22">
        <v>44449</v>
      </c>
      <c r="B936" s="23" t="s">
        <v>52</v>
      </c>
      <c r="C936" s="23">
        <v>7.1629999999999999E-2</v>
      </c>
      <c r="D936" s="23">
        <v>7.1749999999999994E-2</v>
      </c>
      <c r="E936" s="23">
        <v>8.3879999999999996E-2</v>
      </c>
      <c r="F936" s="23">
        <v>9.7500000000000003E-2</v>
      </c>
      <c r="G936" s="23">
        <v>0.11575000000000001</v>
      </c>
      <c r="H936" s="23">
        <v>0.14938000000000001</v>
      </c>
      <c r="I936" s="23">
        <v>0.2225</v>
      </c>
    </row>
    <row r="937" spans="1:9" s="21" customFormat="1" ht="20.100000000000001" customHeight="1" x14ac:dyDescent="0.2">
      <c r="A937" s="22">
        <v>44452</v>
      </c>
      <c r="B937" s="23" t="s">
        <v>53</v>
      </c>
      <c r="C937" s="23">
        <v>7.3380000000000001E-2</v>
      </c>
      <c r="D937" s="23">
        <v>7.4749999999999997E-2</v>
      </c>
      <c r="E937" s="23">
        <v>8.3750000000000005E-2</v>
      </c>
      <c r="F937" s="23">
        <v>9.9500000000000005E-2</v>
      </c>
      <c r="G937" s="23">
        <v>0.11600000000000001</v>
      </c>
      <c r="H937" s="23">
        <v>0.14863000000000001</v>
      </c>
      <c r="I937" s="23">
        <v>0.22313</v>
      </c>
    </row>
    <row r="938" spans="1:9" s="21" customFormat="1" ht="20.100000000000001" customHeight="1" x14ac:dyDescent="0.2">
      <c r="A938" s="22">
        <v>44453</v>
      </c>
      <c r="B938" s="23" t="s">
        <v>49</v>
      </c>
      <c r="C938" s="23">
        <v>7.1879999999999999E-2</v>
      </c>
      <c r="D938" s="23">
        <v>7.3499999999999996E-2</v>
      </c>
      <c r="E938" s="23">
        <v>8.4629999999999997E-2</v>
      </c>
      <c r="F938" s="23">
        <v>9.6629999999999994E-2</v>
      </c>
      <c r="G938" s="23">
        <v>0.11799999999999999</v>
      </c>
      <c r="H938" s="23">
        <v>0.14788000000000001</v>
      </c>
      <c r="I938" s="23">
        <v>0.2225</v>
      </c>
    </row>
    <row r="939" spans="1:9" s="21" customFormat="1" ht="20.100000000000001" customHeight="1" x14ac:dyDescent="0.2">
      <c r="A939" s="22">
        <v>44454</v>
      </c>
      <c r="B939" s="23" t="s">
        <v>50</v>
      </c>
      <c r="C939" s="23">
        <v>7.213E-2</v>
      </c>
      <c r="D939" s="23">
        <v>7.3630000000000001E-2</v>
      </c>
      <c r="E939" s="23">
        <v>8.4129999999999996E-2</v>
      </c>
      <c r="F939" s="23">
        <v>9.7250000000000003E-2</v>
      </c>
      <c r="G939" s="23">
        <v>0.12</v>
      </c>
      <c r="H939" s="23">
        <v>0.14838000000000001</v>
      </c>
      <c r="I939" s="23">
        <v>0.22162999999999999</v>
      </c>
    </row>
    <row r="940" spans="1:9" s="21" customFormat="1" ht="20.100000000000001" customHeight="1" x14ac:dyDescent="0.2">
      <c r="A940" s="22">
        <v>44455</v>
      </c>
      <c r="B940" s="23" t="s">
        <v>51</v>
      </c>
      <c r="C940" s="23">
        <v>7.4249999999999997E-2</v>
      </c>
      <c r="D940" s="23">
        <v>7.4130000000000001E-2</v>
      </c>
      <c r="E940" s="23">
        <v>8.7379999999999999E-2</v>
      </c>
      <c r="F940" s="23">
        <v>0.10013</v>
      </c>
      <c r="G940" s="23">
        <v>0.122</v>
      </c>
      <c r="H940" s="23">
        <v>0.14949999999999999</v>
      </c>
      <c r="I940" s="23">
        <v>0.22425</v>
      </c>
    </row>
    <row r="941" spans="1:9" s="21" customFormat="1" ht="20.100000000000001" customHeight="1" x14ac:dyDescent="0.2">
      <c r="A941" s="22">
        <v>44456</v>
      </c>
      <c r="B941" s="23" t="s">
        <v>52</v>
      </c>
      <c r="C941" s="23">
        <v>7.0749999999999993E-2</v>
      </c>
      <c r="D941" s="23">
        <v>7.3380000000000001E-2</v>
      </c>
      <c r="E941" s="23">
        <v>8.3500000000000005E-2</v>
      </c>
      <c r="F941" s="23">
        <v>0.10188</v>
      </c>
      <c r="G941" s="23">
        <v>0.12388</v>
      </c>
      <c r="H941" s="23">
        <v>0.15225</v>
      </c>
      <c r="I941" s="23">
        <v>0.22438</v>
      </c>
    </row>
    <row r="942" spans="1:9" s="21" customFormat="1" ht="20.100000000000001" customHeight="1" x14ac:dyDescent="0.2">
      <c r="A942" s="22">
        <v>44459</v>
      </c>
      <c r="B942" s="23" t="s">
        <v>53</v>
      </c>
      <c r="C942" s="23">
        <v>7.1879999999999999E-2</v>
      </c>
      <c r="D942" s="23">
        <v>7.3630000000000001E-2</v>
      </c>
      <c r="E942" s="23">
        <v>8.3500000000000005E-2</v>
      </c>
      <c r="F942" s="23">
        <v>0.10438</v>
      </c>
      <c r="G942" s="23">
        <v>0.12537999999999999</v>
      </c>
      <c r="H942" s="23">
        <v>0.1525</v>
      </c>
      <c r="I942" s="23">
        <v>0.22613</v>
      </c>
    </row>
    <row r="943" spans="1:9" s="21" customFormat="1" ht="20.100000000000001" customHeight="1" x14ac:dyDescent="0.2">
      <c r="A943" s="22">
        <v>44460</v>
      </c>
      <c r="B943" s="23" t="s">
        <v>49</v>
      </c>
      <c r="C943" s="23">
        <v>6.6750000000000004E-2</v>
      </c>
      <c r="D943" s="23">
        <v>7.3130000000000001E-2</v>
      </c>
      <c r="E943" s="23">
        <v>8.1750000000000003E-2</v>
      </c>
      <c r="F943" s="23">
        <v>0.10763</v>
      </c>
      <c r="G943" s="23">
        <v>0.12837999999999999</v>
      </c>
      <c r="H943" s="23">
        <v>0.15337999999999999</v>
      </c>
      <c r="I943" s="23">
        <v>0.22413</v>
      </c>
    </row>
    <row r="944" spans="1:9" s="21" customFormat="1" ht="20.100000000000001" customHeight="1" x14ac:dyDescent="0.2">
      <c r="A944" s="22">
        <v>44461</v>
      </c>
      <c r="B944" s="23" t="s">
        <v>50</v>
      </c>
      <c r="C944" s="23">
        <v>7.2499999999999995E-2</v>
      </c>
      <c r="D944" s="23">
        <v>7.0250000000000007E-2</v>
      </c>
      <c r="E944" s="23">
        <v>8.3250000000000005E-2</v>
      </c>
      <c r="F944" s="23">
        <v>0.108</v>
      </c>
      <c r="G944" s="23">
        <v>0.12925</v>
      </c>
      <c r="H944" s="23">
        <v>0.1555</v>
      </c>
      <c r="I944" s="23">
        <v>0.22525000000000001</v>
      </c>
    </row>
    <row r="945" spans="1:9" s="21" customFormat="1" ht="20.100000000000001" customHeight="1" x14ac:dyDescent="0.2">
      <c r="A945" s="22">
        <v>44462</v>
      </c>
      <c r="B945" s="23" t="s">
        <v>51</v>
      </c>
      <c r="C945" s="23">
        <v>7.1879999999999999E-2</v>
      </c>
      <c r="D945" s="23">
        <v>7.3130000000000001E-2</v>
      </c>
      <c r="E945" s="23">
        <v>8.5999999999999993E-2</v>
      </c>
      <c r="F945" s="23">
        <v>0.10888</v>
      </c>
      <c r="G945" s="23">
        <v>0.13225000000000001</v>
      </c>
      <c r="H945" s="23">
        <v>0.155</v>
      </c>
      <c r="I945" s="23">
        <v>0.22900000000000001</v>
      </c>
    </row>
    <row r="946" spans="1:9" s="21" customFormat="1" ht="20.100000000000001" customHeight="1" x14ac:dyDescent="0.2">
      <c r="A946" s="22">
        <v>44463</v>
      </c>
      <c r="B946" s="23" t="s">
        <v>52</v>
      </c>
      <c r="C946" s="23">
        <v>7.2499999999999995E-2</v>
      </c>
      <c r="D946" s="23">
        <v>7.1379999999999999E-2</v>
      </c>
      <c r="E946" s="23">
        <v>8.5129999999999997E-2</v>
      </c>
      <c r="F946" s="23">
        <v>0.1065</v>
      </c>
      <c r="G946" s="23">
        <v>0.13225000000000001</v>
      </c>
      <c r="H946" s="23">
        <v>0.15537999999999999</v>
      </c>
      <c r="I946" s="23">
        <v>0.22963</v>
      </c>
    </row>
    <row r="947" spans="1:9" s="21" customFormat="1" ht="20.100000000000001" customHeight="1" x14ac:dyDescent="0.2">
      <c r="A947" s="22">
        <v>44466</v>
      </c>
      <c r="B947" s="23" t="s">
        <v>53</v>
      </c>
      <c r="C947" s="23">
        <v>7.0379999999999998E-2</v>
      </c>
      <c r="D947" s="23">
        <v>7.0499999999999993E-2</v>
      </c>
      <c r="E947" s="23">
        <v>8.6749999999999994E-2</v>
      </c>
      <c r="F947" s="23">
        <v>0.10738</v>
      </c>
      <c r="G947" s="23">
        <v>0.13175000000000001</v>
      </c>
      <c r="H947" s="23">
        <v>0.155</v>
      </c>
      <c r="I947" s="23">
        <v>0.23599999999999999</v>
      </c>
    </row>
    <row r="948" spans="1:9" s="21" customFormat="1" ht="20.100000000000001" customHeight="1" x14ac:dyDescent="0.2">
      <c r="A948" s="22">
        <v>44467</v>
      </c>
      <c r="B948" s="23" t="s">
        <v>49</v>
      </c>
      <c r="C948" s="23">
        <v>7.1629999999999999E-2</v>
      </c>
      <c r="D948" s="23">
        <v>7.1879999999999999E-2</v>
      </c>
      <c r="E948" s="23">
        <v>8.4129999999999996E-2</v>
      </c>
      <c r="F948" s="23">
        <v>0.11025</v>
      </c>
      <c r="G948" s="23">
        <v>0.13150000000000001</v>
      </c>
      <c r="H948" s="23">
        <v>0.15787999999999999</v>
      </c>
      <c r="I948" s="23">
        <v>0.23849999999999999</v>
      </c>
    </row>
    <row r="949" spans="1:9" s="21" customFormat="1" ht="20.100000000000001" customHeight="1" x14ac:dyDescent="0.2">
      <c r="A949" s="22">
        <v>44468</v>
      </c>
      <c r="B949" s="23" t="s">
        <v>50</v>
      </c>
      <c r="C949" s="23">
        <v>7.0250000000000007E-2</v>
      </c>
      <c r="D949" s="23">
        <v>7.2499999999999995E-2</v>
      </c>
      <c r="E949" s="23">
        <v>8.2379999999999995E-2</v>
      </c>
      <c r="F949" s="23">
        <v>0.11025</v>
      </c>
      <c r="G949" s="23">
        <v>0.13088</v>
      </c>
      <c r="H949" s="23">
        <v>0.15737999999999999</v>
      </c>
      <c r="I949" s="23">
        <v>0.24063000000000001</v>
      </c>
    </row>
    <row r="950" spans="1:9" s="21" customFormat="1" ht="20.100000000000001" customHeight="1" x14ac:dyDescent="0.2">
      <c r="A950" s="22">
        <v>44469</v>
      </c>
      <c r="B950" s="23" t="s">
        <v>51</v>
      </c>
      <c r="C950" s="23">
        <v>7.4630000000000002E-2</v>
      </c>
      <c r="D950" s="23">
        <v>7.3380000000000001E-2</v>
      </c>
      <c r="E950" s="23">
        <v>8.0250000000000002E-2</v>
      </c>
      <c r="F950" s="23">
        <v>0.11138000000000001</v>
      </c>
      <c r="G950" s="23">
        <v>0.13013</v>
      </c>
      <c r="H950" s="23">
        <v>0.1585</v>
      </c>
      <c r="I950" s="23">
        <v>0.23663000000000001</v>
      </c>
    </row>
    <row r="951" spans="1:9" s="21" customFormat="1" ht="20.100000000000001" customHeight="1" x14ac:dyDescent="0.2">
      <c r="A951" s="22">
        <v>44470</v>
      </c>
      <c r="B951" s="23" t="s">
        <v>52</v>
      </c>
      <c r="C951" s="23">
        <v>7.4380000000000002E-2</v>
      </c>
      <c r="D951" s="23">
        <v>7.0629999999999998E-2</v>
      </c>
      <c r="E951" s="23">
        <v>7.5249999999999997E-2</v>
      </c>
      <c r="F951" s="23">
        <v>0.11</v>
      </c>
      <c r="G951" s="23">
        <v>0.13313</v>
      </c>
      <c r="H951" s="23">
        <v>0.157</v>
      </c>
      <c r="I951" s="23">
        <v>0.23488000000000001</v>
      </c>
    </row>
    <row r="952" spans="1:9" s="21" customFormat="1" ht="20.100000000000001" customHeight="1" x14ac:dyDescent="0.2">
      <c r="A952" s="22">
        <v>44473</v>
      </c>
      <c r="B952" s="23" t="s">
        <v>53</v>
      </c>
      <c r="C952" s="23">
        <v>7.2499999999999995E-2</v>
      </c>
      <c r="D952" s="23">
        <v>7.6130000000000003E-2</v>
      </c>
      <c r="E952" s="23">
        <v>7.7880000000000005E-2</v>
      </c>
      <c r="F952" s="23">
        <v>0.10588</v>
      </c>
      <c r="G952" s="23">
        <v>0.12662999999999999</v>
      </c>
      <c r="H952" s="23">
        <v>0.1555</v>
      </c>
      <c r="I952" s="23">
        <v>0.23200000000000001</v>
      </c>
    </row>
    <row r="953" spans="1:9" s="21" customFormat="1" ht="20.100000000000001" customHeight="1" x14ac:dyDescent="0.2">
      <c r="A953" s="22">
        <v>44474</v>
      </c>
      <c r="B953" s="23" t="s">
        <v>49</v>
      </c>
      <c r="C953" s="23">
        <v>6.9879999999999998E-2</v>
      </c>
      <c r="D953" s="23">
        <v>7.288E-2</v>
      </c>
      <c r="E953" s="23">
        <v>8.5750000000000007E-2</v>
      </c>
      <c r="F953" s="23">
        <v>0.10638</v>
      </c>
      <c r="G953" s="23">
        <v>0.124</v>
      </c>
      <c r="H953" s="23">
        <v>0.15512999999999999</v>
      </c>
      <c r="I953" s="23">
        <v>0.23688000000000001</v>
      </c>
    </row>
    <row r="954" spans="1:9" s="21" customFormat="1" ht="20.100000000000001" customHeight="1" x14ac:dyDescent="0.2">
      <c r="A954" s="22">
        <v>44475</v>
      </c>
      <c r="B954" s="23" t="s">
        <v>50</v>
      </c>
      <c r="C954" s="23">
        <v>7.2749999999999995E-2</v>
      </c>
      <c r="D954" s="23">
        <v>7.5380000000000003E-2</v>
      </c>
      <c r="E954" s="23">
        <v>8.7129999999999999E-2</v>
      </c>
      <c r="F954" s="23">
        <v>0.109</v>
      </c>
      <c r="G954" s="23">
        <v>0.124</v>
      </c>
      <c r="H954" s="23">
        <v>0.15612999999999999</v>
      </c>
      <c r="I954" s="23">
        <v>0.24113000000000001</v>
      </c>
    </row>
    <row r="955" spans="1:9" s="21" customFormat="1" ht="20.100000000000001" customHeight="1" x14ac:dyDescent="0.2">
      <c r="A955" s="22">
        <v>44476</v>
      </c>
      <c r="B955" s="23" t="s">
        <v>51</v>
      </c>
      <c r="C955" s="23">
        <v>7.238E-2</v>
      </c>
      <c r="D955" s="23">
        <v>7.7880000000000005E-2</v>
      </c>
      <c r="E955" s="23">
        <v>8.5999999999999993E-2</v>
      </c>
      <c r="F955" s="23">
        <v>0.10838</v>
      </c>
      <c r="G955" s="23">
        <v>0.12363</v>
      </c>
      <c r="H955" s="23">
        <v>0.15587999999999999</v>
      </c>
      <c r="I955" s="23">
        <v>0.24313000000000001</v>
      </c>
    </row>
    <row r="956" spans="1:9" s="21" customFormat="1" ht="20.100000000000001" customHeight="1" x14ac:dyDescent="0.2">
      <c r="A956" s="22">
        <v>44477</v>
      </c>
      <c r="B956" s="23" t="s">
        <v>52</v>
      </c>
      <c r="C956" s="23">
        <v>7.263E-2</v>
      </c>
      <c r="D956" s="23">
        <v>7.5999999999999998E-2</v>
      </c>
      <c r="E956" s="23">
        <v>8.3629999999999996E-2</v>
      </c>
      <c r="F956" s="23">
        <v>0.10538</v>
      </c>
      <c r="G956" s="23">
        <v>0.12113</v>
      </c>
      <c r="H956" s="23">
        <v>0.1565</v>
      </c>
      <c r="I956" s="23">
        <v>0.247</v>
      </c>
    </row>
    <row r="957" spans="1:9" s="21" customFormat="1" ht="20.100000000000001" customHeight="1" x14ac:dyDescent="0.2">
      <c r="A957" s="22">
        <v>44480</v>
      </c>
      <c r="B957" s="23" t="s">
        <v>53</v>
      </c>
      <c r="C957" s="23"/>
      <c r="D957" s="23">
        <v>7.6130000000000003E-2</v>
      </c>
      <c r="E957" s="23">
        <v>8.5379999999999998E-2</v>
      </c>
      <c r="F957" s="23">
        <v>0.10174999999999999</v>
      </c>
      <c r="G957" s="23">
        <v>0.12175</v>
      </c>
      <c r="H957" s="23">
        <v>0.1565</v>
      </c>
      <c r="I957" s="23">
        <v>0.25663000000000002</v>
      </c>
    </row>
    <row r="958" spans="1:9" s="21" customFormat="1" ht="20.100000000000001" customHeight="1" x14ac:dyDescent="0.2">
      <c r="A958" s="22">
        <v>44481</v>
      </c>
      <c r="B958" s="23" t="s">
        <v>49</v>
      </c>
      <c r="C958" s="23">
        <v>7.3999999999999996E-2</v>
      </c>
      <c r="D958" s="23">
        <v>7.4880000000000002E-2</v>
      </c>
      <c r="E958" s="23">
        <v>8.788E-2</v>
      </c>
      <c r="F958" s="23">
        <v>0.10249999999999999</v>
      </c>
      <c r="G958" s="23">
        <v>0.12675</v>
      </c>
      <c r="H958" s="23">
        <v>0.15712999999999999</v>
      </c>
      <c r="I958" s="23">
        <v>0.26138</v>
      </c>
    </row>
    <row r="959" spans="1:9" s="21" customFormat="1" ht="20.100000000000001" customHeight="1" x14ac:dyDescent="0.2">
      <c r="A959" s="22">
        <v>44482</v>
      </c>
      <c r="B959" s="23" t="s">
        <v>50</v>
      </c>
      <c r="C959" s="23">
        <v>7.3630000000000001E-2</v>
      </c>
      <c r="D959" s="23">
        <v>7.263E-2</v>
      </c>
      <c r="E959" s="23">
        <v>9.0249999999999997E-2</v>
      </c>
      <c r="F959" s="23">
        <v>0.10249999999999999</v>
      </c>
      <c r="G959" s="23">
        <v>0.12375</v>
      </c>
      <c r="H959" s="23">
        <v>0.15675</v>
      </c>
      <c r="I959" s="23">
        <v>0.26574999999999999</v>
      </c>
    </row>
    <row r="960" spans="1:9" s="21" customFormat="1" ht="20.100000000000001" customHeight="1" x14ac:dyDescent="0.2">
      <c r="A960" s="22">
        <v>44483</v>
      </c>
      <c r="B960" s="23" t="s">
        <v>51</v>
      </c>
      <c r="C960" s="23">
        <v>7.1999999999999995E-2</v>
      </c>
      <c r="D960" s="23">
        <v>7.3130000000000001E-2</v>
      </c>
      <c r="E960" s="23">
        <v>8.5879999999999998E-2</v>
      </c>
      <c r="F960" s="23">
        <v>0.10100000000000001</v>
      </c>
      <c r="G960" s="23">
        <v>0.12225</v>
      </c>
      <c r="H960" s="23">
        <v>0.15925</v>
      </c>
      <c r="I960" s="23">
        <v>0.27262999999999998</v>
      </c>
    </row>
    <row r="961" spans="1:9" s="21" customFormat="1" ht="20.100000000000001" customHeight="1" x14ac:dyDescent="0.2">
      <c r="A961" s="22">
        <v>44484</v>
      </c>
      <c r="B961" s="23" t="s">
        <v>52</v>
      </c>
      <c r="C961" s="23">
        <v>7.1129999999999999E-2</v>
      </c>
      <c r="D961" s="23">
        <v>7.4880000000000002E-2</v>
      </c>
      <c r="E961" s="23">
        <v>8.0379999999999993E-2</v>
      </c>
      <c r="F961" s="23">
        <v>0.10138</v>
      </c>
      <c r="G961" s="23">
        <v>0.12363</v>
      </c>
      <c r="H961" s="23">
        <v>0.1605</v>
      </c>
      <c r="I961" s="23">
        <v>0.27962999999999999</v>
      </c>
    </row>
    <row r="962" spans="1:9" s="21" customFormat="1" ht="20.100000000000001" customHeight="1" x14ac:dyDescent="0.2">
      <c r="A962" s="22">
        <v>44487</v>
      </c>
      <c r="B962" s="23" t="s">
        <v>53</v>
      </c>
      <c r="C962" s="23">
        <v>7.213E-2</v>
      </c>
      <c r="D962" s="23">
        <v>7.213E-2</v>
      </c>
      <c r="E962" s="23">
        <v>8.5629999999999998E-2</v>
      </c>
      <c r="F962" s="23">
        <v>0.10363</v>
      </c>
      <c r="G962" s="23">
        <v>0.13150000000000001</v>
      </c>
      <c r="H962" s="23">
        <v>0.16625000000000001</v>
      </c>
      <c r="I962" s="23">
        <v>0.30213000000000001</v>
      </c>
    </row>
    <row r="963" spans="1:9" s="21" customFormat="1" ht="20.100000000000001" customHeight="1" x14ac:dyDescent="0.2">
      <c r="A963" s="22">
        <v>44488</v>
      </c>
      <c r="B963" s="23" t="s">
        <v>49</v>
      </c>
      <c r="C963" s="23">
        <v>7.1749999999999994E-2</v>
      </c>
      <c r="D963" s="23">
        <v>7.5130000000000002E-2</v>
      </c>
      <c r="E963" s="23">
        <v>8.5629999999999998E-2</v>
      </c>
      <c r="F963" s="23">
        <v>0.10775</v>
      </c>
      <c r="G963" s="23">
        <v>0.1295</v>
      </c>
      <c r="H963" s="23">
        <v>0.16750000000000001</v>
      </c>
      <c r="I963" s="23">
        <v>0.29213</v>
      </c>
    </row>
    <row r="964" spans="1:9" s="21" customFormat="1" ht="20.100000000000001" customHeight="1" x14ac:dyDescent="0.2">
      <c r="A964" s="22">
        <v>44489</v>
      </c>
      <c r="B964" s="23" t="s">
        <v>50</v>
      </c>
      <c r="C964" s="23">
        <v>7.3249999999999996E-2</v>
      </c>
      <c r="D964" s="23">
        <v>7.2499999999999995E-2</v>
      </c>
      <c r="E964" s="23">
        <v>8.5750000000000007E-2</v>
      </c>
      <c r="F964" s="23">
        <v>0.10563</v>
      </c>
      <c r="G964" s="23">
        <v>0.12825</v>
      </c>
      <c r="H964" s="23">
        <v>0.17050000000000001</v>
      </c>
      <c r="I964" s="23">
        <v>0.29675000000000001</v>
      </c>
    </row>
    <row r="965" spans="1:9" s="21" customFormat="1" ht="20.100000000000001" customHeight="1" x14ac:dyDescent="0.2">
      <c r="A965" s="22">
        <v>44490</v>
      </c>
      <c r="B965" s="23" t="s">
        <v>51</v>
      </c>
      <c r="C965" s="23">
        <v>7.2749999999999995E-2</v>
      </c>
      <c r="D965" s="23">
        <v>7.238E-2</v>
      </c>
      <c r="E965" s="23">
        <v>8.9249999999999996E-2</v>
      </c>
      <c r="F965" s="23">
        <v>9.8750000000000004E-2</v>
      </c>
      <c r="G965" s="23">
        <v>0.12388</v>
      </c>
      <c r="H965" s="23">
        <v>0.17025000000000001</v>
      </c>
      <c r="I965" s="23">
        <v>0.29649999999999999</v>
      </c>
    </row>
    <row r="966" spans="1:9" s="21" customFormat="1" ht="20.100000000000001" customHeight="1" x14ac:dyDescent="0.2">
      <c r="A966" s="22">
        <v>44491</v>
      </c>
      <c r="B966" s="23" t="s">
        <v>52</v>
      </c>
      <c r="C966" s="23">
        <v>7.3499999999999996E-2</v>
      </c>
      <c r="D966" s="23">
        <v>7.5249999999999997E-2</v>
      </c>
      <c r="E966" s="23">
        <v>8.788E-2</v>
      </c>
      <c r="F966" s="23">
        <v>0.10213</v>
      </c>
      <c r="G966" s="23">
        <v>0.12488</v>
      </c>
      <c r="H966" s="23">
        <v>0.17199999999999999</v>
      </c>
      <c r="I966" s="23">
        <v>0.31688</v>
      </c>
    </row>
    <row r="967" spans="1:9" s="21" customFormat="1" ht="20.100000000000001" customHeight="1" x14ac:dyDescent="0.2">
      <c r="A967" s="22">
        <v>44494</v>
      </c>
      <c r="B967" s="23" t="s">
        <v>53</v>
      </c>
      <c r="C967" s="23">
        <v>7.1499999999999994E-2</v>
      </c>
      <c r="D967" s="23">
        <v>7.2749999999999995E-2</v>
      </c>
      <c r="E967" s="23">
        <v>8.7749999999999995E-2</v>
      </c>
      <c r="F967" s="23">
        <v>0.10375</v>
      </c>
      <c r="G967" s="23">
        <v>0.13450000000000001</v>
      </c>
      <c r="H967" s="23">
        <v>0.17788000000000001</v>
      </c>
      <c r="I967" s="23">
        <v>0.32938000000000001</v>
      </c>
    </row>
    <row r="968" spans="1:9" s="21" customFormat="1" ht="20.100000000000001" customHeight="1" x14ac:dyDescent="0.2">
      <c r="A968" s="22">
        <v>44495</v>
      </c>
      <c r="B968" s="23" t="s">
        <v>49</v>
      </c>
      <c r="C968" s="23">
        <v>7.1629999999999999E-2</v>
      </c>
      <c r="D968" s="23">
        <v>7.3749999999999996E-2</v>
      </c>
      <c r="E968" s="23">
        <v>8.6999999999999994E-2</v>
      </c>
      <c r="F968" s="23">
        <v>0.10188</v>
      </c>
      <c r="G968" s="23">
        <v>0.13588</v>
      </c>
      <c r="H968" s="23">
        <v>0.17624999999999999</v>
      </c>
      <c r="I968" s="23">
        <v>0.32274999999999998</v>
      </c>
    </row>
    <row r="969" spans="1:9" s="21" customFormat="1" ht="20.100000000000001" customHeight="1" x14ac:dyDescent="0.2">
      <c r="A969" s="22">
        <v>44496</v>
      </c>
      <c r="B969" s="23" t="s">
        <v>50</v>
      </c>
      <c r="C969" s="23">
        <v>6.9500000000000006E-2</v>
      </c>
      <c r="D969" s="23">
        <v>7.2499999999999995E-2</v>
      </c>
      <c r="E969" s="23">
        <v>8.6999999999999994E-2</v>
      </c>
      <c r="F969" s="23">
        <v>0.10075000000000001</v>
      </c>
      <c r="G969" s="23">
        <v>0.12862999999999999</v>
      </c>
      <c r="H969" s="23">
        <v>0.17963000000000001</v>
      </c>
      <c r="I969" s="23">
        <v>0.33224999999999999</v>
      </c>
    </row>
    <row r="970" spans="1:9" s="21" customFormat="1" ht="20.100000000000001" customHeight="1" x14ac:dyDescent="0.2">
      <c r="A970" s="22">
        <v>44497</v>
      </c>
      <c r="B970" s="23" t="s">
        <v>51</v>
      </c>
      <c r="C970" s="23">
        <v>7.3630000000000001E-2</v>
      </c>
      <c r="D970" s="23">
        <v>7.1499999999999994E-2</v>
      </c>
      <c r="E970" s="23">
        <v>8.6379999999999998E-2</v>
      </c>
      <c r="F970" s="23">
        <v>0.10274999999999999</v>
      </c>
      <c r="G970" s="23">
        <v>0.13163</v>
      </c>
      <c r="H970" s="23">
        <v>0.19363</v>
      </c>
      <c r="I970" s="23">
        <v>0.37063000000000001</v>
      </c>
    </row>
    <row r="971" spans="1:9" s="21" customFormat="1" ht="20.100000000000001" customHeight="1" x14ac:dyDescent="0.2">
      <c r="A971" s="22">
        <v>44498</v>
      </c>
      <c r="B971" s="23" t="s">
        <v>52</v>
      </c>
      <c r="C971" s="23">
        <v>7.213E-2</v>
      </c>
      <c r="D971" s="23">
        <v>7.4380000000000002E-2</v>
      </c>
      <c r="E971" s="23">
        <v>8.7499999999999994E-2</v>
      </c>
      <c r="F971" s="23">
        <v>0.10263</v>
      </c>
      <c r="G971" s="23">
        <v>0.13225000000000001</v>
      </c>
      <c r="H971" s="23">
        <v>0.20100000000000001</v>
      </c>
      <c r="I971" s="23">
        <v>0.36113000000000001</v>
      </c>
    </row>
    <row r="972" spans="1:9" s="21" customFormat="1" ht="20.100000000000001" customHeight="1" x14ac:dyDescent="0.2">
      <c r="A972" s="22">
        <v>44501</v>
      </c>
      <c r="B972" s="23" t="s">
        <v>53</v>
      </c>
      <c r="C972" s="23">
        <v>6.7629999999999996E-2</v>
      </c>
      <c r="D972" s="23">
        <v>7.4249999999999997E-2</v>
      </c>
      <c r="E972" s="23">
        <v>8.1129999999999994E-2</v>
      </c>
      <c r="F972" s="23">
        <v>0.10638</v>
      </c>
      <c r="G972" s="23">
        <v>0.14088000000000001</v>
      </c>
      <c r="H972" s="23">
        <v>0.21088000000000001</v>
      </c>
      <c r="I972" s="23">
        <v>0.36725000000000002</v>
      </c>
    </row>
    <row r="973" spans="1:9" s="21" customFormat="1" ht="20.100000000000001" customHeight="1" x14ac:dyDescent="0.2">
      <c r="A973" s="22">
        <v>44502</v>
      </c>
      <c r="B973" s="23" t="s">
        <v>49</v>
      </c>
      <c r="C973" s="23">
        <v>7.213E-2</v>
      </c>
      <c r="D973" s="23">
        <v>7.3380000000000001E-2</v>
      </c>
      <c r="E973" s="23">
        <v>8.0879999999999994E-2</v>
      </c>
      <c r="F973" s="23">
        <v>0.1135</v>
      </c>
      <c r="G973" s="23">
        <v>0.14499999999999999</v>
      </c>
      <c r="H973" s="23">
        <v>0.22075</v>
      </c>
      <c r="I973" s="23">
        <v>0.35837999999999998</v>
      </c>
    </row>
    <row r="974" spans="1:9" s="21" customFormat="1" ht="20.100000000000001" customHeight="1" x14ac:dyDescent="0.2">
      <c r="A974" s="22">
        <v>44503</v>
      </c>
      <c r="B974" s="23" t="s">
        <v>50</v>
      </c>
      <c r="C974" s="23">
        <v>7.3749999999999996E-2</v>
      </c>
      <c r="D974" s="23">
        <v>7.4130000000000001E-2</v>
      </c>
      <c r="E974" s="23">
        <v>8.5500000000000007E-2</v>
      </c>
      <c r="F974" s="23">
        <v>0.11475</v>
      </c>
      <c r="G974" s="23">
        <v>0.13975000000000001</v>
      </c>
      <c r="H974" s="23">
        <v>0.2185</v>
      </c>
      <c r="I974" s="23">
        <v>0.35763</v>
      </c>
    </row>
    <row r="975" spans="1:9" s="21" customFormat="1" ht="20.100000000000001" customHeight="1" x14ac:dyDescent="0.2">
      <c r="A975" s="22">
        <v>44504</v>
      </c>
      <c r="B975" s="23" t="s">
        <v>51</v>
      </c>
      <c r="C975" s="23">
        <v>6.9000000000000006E-2</v>
      </c>
      <c r="D975" s="23">
        <v>7.4499999999999997E-2</v>
      </c>
      <c r="E975" s="23">
        <v>8.9630000000000001E-2</v>
      </c>
      <c r="F975" s="23">
        <v>0.11488</v>
      </c>
      <c r="G975" s="23">
        <v>0.14438000000000001</v>
      </c>
      <c r="H975" s="23">
        <v>0.21325</v>
      </c>
      <c r="I975" s="23">
        <v>0.36249999999999999</v>
      </c>
    </row>
    <row r="976" spans="1:9" s="21" customFormat="1" ht="20.100000000000001" customHeight="1" x14ac:dyDescent="0.2">
      <c r="A976" s="22">
        <v>44505</v>
      </c>
      <c r="B976" s="23" t="s">
        <v>52</v>
      </c>
      <c r="C976" s="23">
        <v>7.263E-2</v>
      </c>
      <c r="D976" s="23">
        <v>7.263E-2</v>
      </c>
      <c r="E976" s="23">
        <v>8.863E-2</v>
      </c>
      <c r="F976" s="23">
        <v>0.11212999999999999</v>
      </c>
      <c r="G976" s="23">
        <v>0.14274999999999999</v>
      </c>
      <c r="H976" s="23">
        <v>0.22087999999999999</v>
      </c>
      <c r="I976" s="23">
        <v>0.35749999999999998</v>
      </c>
    </row>
    <row r="977" spans="1:9" s="21" customFormat="1" ht="20.100000000000001" customHeight="1" x14ac:dyDescent="0.2">
      <c r="A977" s="22">
        <v>44508</v>
      </c>
      <c r="B977" s="23" t="s">
        <v>53</v>
      </c>
      <c r="C977" s="23">
        <v>6.5000000000000002E-2</v>
      </c>
      <c r="D977" s="23">
        <v>7.2249999999999995E-2</v>
      </c>
      <c r="E977" s="23">
        <v>9.1130000000000003E-2</v>
      </c>
      <c r="F977" s="23">
        <v>0.11362999999999999</v>
      </c>
      <c r="G977" s="23">
        <v>0.14563000000000001</v>
      </c>
      <c r="H977" s="23">
        <v>0.219</v>
      </c>
      <c r="I977" s="23">
        <v>0.35288000000000003</v>
      </c>
    </row>
    <row r="978" spans="1:9" s="21" customFormat="1" ht="20.100000000000001" customHeight="1" x14ac:dyDescent="0.2">
      <c r="A978" s="22">
        <v>44509</v>
      </c>
      <c r="B978" s="23" t="s">
        <v>49</v>
      </c>
      <c r="C978" s="23">
        <v>7.0879999999999999E-2</v>
      </c>
      <c r="D978" s="23">
        <v>7.1999999999999995E-2</v>
      </c>
      <c r="E978" s="23">
        <v>8.9249999999999996E-2</v>
      </c>
      <c r="F978" s="23">
        <v>0.11287999999999999</v>
      </c>
      <c r="G978" s="23">
        <v>0.14949999999999999</v>
      </c>
      <c r="H978" s="23">
        <v>0.21512999999999999</v>
      </c>
      <c r="I978" s="23">
        <v>0.34975000000000001</v>
      </c>
    </row>
    <row r="979" spans="1:9" s="21" customFormat="1" ht="20.100000000000001" customHeight="1" x14ac:dyDescent="0.2">
      <c r="A979" s="22">
        <v>44510</v>
      </c>
      <c r="B979" s="23" t="s">
        <v>50</v>
      </c>
      <c r="C979" s="23">
        <v>6.5379999999999994E-2</v>
      </c>
      <c r="D979" s="23">
        <v>7.4499999999999997E-2</v>
      </c>
      <c r="E979" s="23">
        <v>8.9249999999999996E-2</v>
      </c>
      <c r="F979" s="23">
        <v>0.11774999999999999</v>
      </c>
      <c r="G979" s="23">
        <v>0.15437999999999999</v>
      </c>
      <c r="H979" s="23">
        <v>0.2195</v>
      </c>
      <c r="I979" s="23">
        <v>0.35375000000000001</v>
      </c>
    </row>
    <row r="980" spans="1:9" s="21" customFormat="1" ht="20.100000000000001" customHeight="1" x14ac:dyDescent="0.2">
      <c r="A980" s="22">
        <v>44511</v>
      </c>
      <c r="B980" s="23" t="s">
        <v>51</v>
      </c>
      <c r="C980" s="23"/>
      <c r="D980" s="23">
        <v>7.3880000000000001E-2</v>
      </c>
      <c r="E980" s="23">
        <v>8.9499999999999996E-2</v>
      </c>
      <c r="F980" s="23">
        <v>0.11899999999999999</v>
      </c>
      <c r="G980" s="23">
        <v>0.156</v>
      </c>
      <c r="H980" s="23">
        <v>0.22788</v>
      </c>
      <c r="I980" s="23">
        <v>0.38788</v>
      </c>
    </row>
    <row r="981" spans="1:9" s="21" customFormat="1" ht="20.100000000000001" customHeight="1" x14ac:dyDescent="0.2">
      <c r="A981" s="22">
        <v>44512</v>
      </c>
      <c r="B981" s="23" t="s">
        <v>52</v>
      </c>
      <c r="C981" s="23">
        <v>7.4749999999999997E-2</v>
      </c>
      <c r="D981" s="23">
        <v>7.5999999999999998E-2</v>
      </c>
      <c r="E981" s="23">
        <v>8.9130000000000001E-2</v>
      </c>
      <c r="F981" s="23">
        <v>0.11888</v>
      </c>
      <c r="G981" s="23">
        <v>0.155</v>
      </c>
      <c r="H981" s="23">
        <v>0.22600000000000001</v>
      </c>
      <c r="I981" s="23">
        <v>0.39850000000000002</v>
      </c>
    </row>
    <row r="982" spans="1:9" s="21" customFormat="1" ht="20.100000000000001" customHeight="1" x14ac:dyDescent="0.2">
      <c r="A982" s="22">
        <v>44515</v>
      </c>
      <c r="B982" s="23" t="s">
        <v>53</v>
      </c>
      <c r="C982" s="23">
        <v>7.4999999999999997E-2</v>
      </c>
      <c r="D982" s="23">
        <v>7.4249999999999997E-2</v>
      </c>
      <c r="E982" s="23">
        <v>9.1130000000000003E-2</v>
      </c>
      <c r="F982" s="23">
        <v>0.1195</v>
      </c>
      <c r="G982" s="23">
        <v>0.15787999999999999</v>
      </c>
      <c r="H982" s="23">
        <v>0.22538</v>
      </c>
      <c r="I982" s="23">
        <v>0.39424999999999999</v>
      </c>
    </row>
    <row r="983" spans="1:9" s="21" customFormat="1" ht="20.100000000000001" customHeight="1" x14ac:dyDescent="0.2">
      <c r="A983" s="22">
        <v>44516</v>
      </c>
      <c r="B983" s="23" t="s">
        <v>49</v>
      </c>
      <c r="C983" s="23">
        <v>7.4249999999999997E-2</v>
      </c>
      <c r="D983" s="23">
        <v>7.2999999999999995E-2</v>
      </c>
      <c r="E983" s="23">
        <v>8.8880000000000001E-2</v>
      </c>
      <c r="F983" s="23">
        <v>0.12463</v>
      </c>
      <c r="G983" s="23">
        <v>0.16</v>
      </c>
      <c r="H983" s="23">
        <v>0.22775000000000001</v>
      </c>
      <c r="I983" s="23">
        <v>0.39912999999999998</v>
      </c>
    </row>
    <row r="984" spans="1:9" s="21" customFormat="1" ht="20.100000000000001" customHeight="1" x14ac:dyDescent="0.2">
      <c r="A984" s="22">
        <v>44517</v>
      </c>
      <c r="B984" s="23" t="s">
        <v>50</v>
      </c>
      <c r="C984" s="23">
        <v>7.5249999999999997E-2</v>
      </c>
      <c r="D984" s="23">
        <v>7.4499999999999997E-2</v>
      </c>
      <c r="E984" s="23">
        <v>8.8749999999999996E-2</v>
      </c>
      <c r="F984" s="23">
        <v>0.12388</v>
      </c>
      <c r="G984" s="23">
        <v>0.1575</v>
      </c>
      <c r="H984" s="23">
        <v>0.22863</v>
      </c>
      <c r="I984" s="23">
        <v>0.39862999999999998</v>
      </c>
    </row>
    <row r="985" spans="1:9" s="21" customFormat="1" ht="20.100000000000001" customHeight="1" x14ac:dyDescent="0.2">
      <c r="A985" s="22">
        <v>44518</v>
      </c>
      <c r="B985" s="23" t="s">
        <v>51</v>
      </c>
      <c r="C985" s="23">
        <v>7.4249999999999997E-2</v>
      </c>
      <c r="D985" s="23">
        <v>7.825E-2</v>
      </c>
      <c r="E985" s="23">
        <v>9.1130000000000003E-2</v>
      </c>
      <c r="F985" s="23">
        <v>0.1245</v>
      </c>
      <c r="G985" s="23">
        <v>0.15962999999999999</v>
      </c>
      <c r="H985" s="23">
        <v>0.2235</v>
      </c>
      <c r="I985" s="23">
        <v>0.38974999999999999</v>
      </c>
    </row>
    <row r="986" spans="1:9" s="21" customFormat="1" ht="20.100000000000001" customHeight="1" x14ac:dyDescent="0.2">
      <c r="A986" s="22">
        <v>44519</v>
      </c>
      <c r="B986" s="23" t="s">
        <v>52</v>
      </c>
      <c r="C986" s="23">
        <v>7.5999999999999998E-2</v>
      </c>
      <c r="D986" s="23">
        <v>7.7499999999999999E-2</v>
      </c>
      <c r="E986" s="23">
        <v>9.3380000000000005E-2</v>
      </c>
      <c r="F986" s="23">
        <v>0.13013</v>
      </c>
      <c r="G986" s="23">
        <v>0.16400000000000001</v>
      </c>
      <c r="H986" s="23">
        <v>0.22938</v>
      </c>
      <c r="I986" s="23">
        <v>0.39174999999999999</v>
      </c>
    </row>
    <row r="987" spans="1:9" s="21" customFormat="1" ht="20.100000000000001" customHeight="1" x14ac:dyDescent="0.2">
      <c r="A987" s="22">
        <v>44522</v>
      </c>
      <c r="B987" s="23" t="s">
        <v>53</v>
      </c>
      <c r="C987" s="23">
        <v>7.5499999999999998E-2</v>
      </c>
      <c r="D987" s="23">
        <v>7.775E-2</v>
      </c>
      <c r="E987" s="23">
        <v>9.2380000000000004E-2</v>
      </c>
      <c r="F987" s="23">
        <v>0.13775000000000001</v>
      </c>
      <c r="G987" s="23">
        <v>0.16963</v>
      </c>
      <c r="H987" s="23">
        <v>0.24388000000000001</v>
      </c>
      <c r="I987" s="23">
        <v>0.42563000000000001</v>
      </c>
    </row>
    <row r="988" spans="1:9" s="21" customFormat="1" ht="20.100000000000001" customHeight="1" x14ac:dyDescent="0.2">
      <c r="A988" s="22">
        <v>44523</v>
      </c>
      <c r="B988" s="23" t="s">
        <v>49</v>
      </c>
      <c r="C988" s="23">
        <v>7.2499999999999995E-2</v>
      </c>
      <c r="D988" s="23">
        <v>7.7499999999999999E-2</v>
      </c>
      <c r="E988" s="23">
        <v>9.1999999999999998E-2</v>
      </c>
      <c r="F988" s="23">
        <v>0.14224999999999999</v>
      </c>
      <c r="G988" s="23">
        <v>0.17799999999999999</v>
      </c>
      <c r="H988" s="23">
        <v>0.25187999999999999</v>
      </c>
      <c r="I988" s="23">
        <v>0.44900000000000001</v>
      </c>
    </row>
    <row r="989" spans="1:9" s="21" customFormat="1" ht="20.100000000000001" customHeight="1" x14ac:dyDescent="0.2">
      <c r="A989" s="22">
        <v>44524</v>
      </c>
      <c r="B989" s="23" t="s">
        <v>50</v>
      </c>
      <c r="C989" s="23">
        <v>7.3499999999999996E-2</v>
      </c>
      <c r="D989" s="23">
        <v>7.5630000000000003E-2</v>
      </c>
      <c r="E989" s="23">
        <v>9.1630000000000003E-2</v>
      </c>
      <c r="F989" s="23">
        <v>0.14213000000000001</v>
      </c>
      <c r="G989" s="23">
        <v>0.18024999999999999</v>
      </c>
      <c r="H989" s="23">
        <v>0.251</v>
      </c>
      <c r="I989" s="23">
        <v>0.44588</v>
      </c>
    </row>
    <row r="990" spans="1:9" s="21" customFormat="1" ht="20.100000000000001" customHeight="1" x14ac:dyDescent="0.2">
      <c r="A990" s="22">
        <v>44525</v>
      </c>
      <c r="B990" s="23" t="s">
        <v>51</v>
      </c>
      <c r="C990" s="23"/>
      <c r="D990" s="23">
        <v>7.4249999999999997E-2</v>
      </c>
      <c r="E990" s="23">
        <v>9.2999999999999999E-2</v>
      </c>
      <c r="F990" s="23">
        <v>0.14249999999999999</v>
      </c>
      <c r="G990" s="23">
        <v>0.17563000000000001</v>
      </c>
      <c r="H990" s="23">
        <v>0.25913000000000003</v>
      </c>
      <c r="I990" s="23">
        <v>0.47162999999999999</v>
      </c>
    </row>
    <row r="991" spans="1:9" s="21" customFormat="1" ht="20.100000000000001" customHeight="1" x14ac:dyDescent="0.2">
      <c r="A991" s="22">
        <v>44526</v>
      </c>
      <c r="B991" s="23" t="s">
        <v>52</v>
      </c>
      <c r="C991" s="23">
        <v>7.4130000000000001E-2</v>
      </c>
      <c r="D991" s="23">
        <v>7.6130000000000003E-2</v>
      </c>
      <c r="E991" s="23">
        <v>9.0380000000000002E-2</v>
      </c>
      <c r="F991" s="23">
        <v>0.14099999999999999</v>
      </c>
      <c r="G991" s="23">
        <v>0.17538000000000001</v>
      </c>
      <c r="H991" s="23">
        <v>0.246</v>
      </c>
      <c r="I991" s="23">
        <v>0.41038000000000002</v>
      </c>
    </row>
    <row r="992" spans="1:9" s="21" customFormat="1" ht="20.100000000000001" customHeight="1" x14ac:dyDescent="0.2">
      <c r="A992" s="22">
        <v>44529</v>
      </c>
      <c r="B992" s="23" t="s">
        <v>53</v>
      </c>
      <c r="C992" s="23">
        <v>7.6380000000000003E-2</v>
      </c>
      <c r="D992" s="23">
        <v>7.775E-2</v>
      </c>
      <c r="E992" s="23">
        <v>9.9250000000000005E-2</v>
      </c>
      <c r="F992" s="23">
        <v>0.13688</v>
      </c>
      <c r="G992" s="23">
        <v>0.17088</v>
      </c>
      <c r="H992" s="23">
        <v>0.246</v>
      </c>
      <c r="I992" s="23">
        <v>0.41987999999999998</v>
      </c>
    </row>
    <row r="993" spans="1:9" s="21" customFormat="1" ht="20.100000000000001" customHeight="1" x14ac:dyDescent="0.2">
      <c r="A993" s="22">
        <v>44530</v>
      </c>
      <c r="B993" s="23" t="s">
        <v>49</v>
      </c>
      <c r="C993" s="23">
        <v>7.6499999999999999E-2</v>
      </c>
      <c r="D993" s="23">
        <v>7.6749999999999999E-2</v>
      </c>
      <c r="E993" s="23">
        <v>9.4E-2</v>
      </c>
      <c r="F993" s="23">
        <v>0.13263</v>
      </c>
      <c r="G993" s="23">
        <v>0.17324999999999999</v>
      </c>
      <c r="H993" s="23">
        <v>0.24324999999999999</v>
      </c>
      <c r="I993" s="23">
        <v>0.38238</v>
      </c>
    </row>
    <row r="994" spans="1:9" s="21" customFormat="1" ht="20.100000000000001" customHeight="1" x14ac:dyDescent="0.2">
      <c r="A994" s="22">
        <v>44531</v>
      </c>
      <c r="B994" s="23" t="s">
        <v>50</v>
      </c>
      <c r="C994" s="23">
        <v>7.7130000000000004E-2</v>
      </c>
      <c r="D994" s="23">
        <v>7.5499999999999998E-2</v>
      </c>
      <c r="E994" s="23">
        <v>0.10263</v>
      </c>
      <c r="F994" s="23">
        <v>0.14374999999999999</v>
      </c>
      <c r="G994" s="23">
        <v>0.17463000000000001</v>
      </c>
      <c r="H994" s="23">
        <v>0.26950000000000002</v>
      </c>
      <c r="I994" s="23">
        <v>0.45824999999999999</v>
      </c>
    </row>
    <row r="995" spans="1:9" s="21" customFormat="1" ht="20.100000000000001" customHeight="1" x14ac:dyDescent="0.2">
      <c r="A995" s="22">
        <v>44532</v>
      </c>
      <c r="B995" s="23" t="s">
        <v>51</v>
      </c>
      <c r="C995" s="23">
        <v>7.7630000000000005E-2</v>
      </c>
      <c r="D995" s="23">
        <v>7.5249999999999997E-2</v>
      </c>
      <c r="E995" s="23">
        <v>0.10349999999999999</v>
      </c>
      <c r="F995" s="23">
        <v>0.13825000000000001</v>
      </c>
      <c r="G995" s="23">
        <v>0.18013000000000001</v>
      </c>
      <c r="H995" s="23">
        <v>0.26774999999999999</v>
      </c>
      <c r="I995" s="23">
        <v>0.45588000000000001</v>
      </c>
    </row>
    <row r="996" spans="1:9" s="21" customFormat="1" ht="20.100000000000001" customHeight="1" x14ac:dyDescent="0.2">
      <c r="A996" s="22">
        <v>44533</v>
      </c>
      <c r="B996" s="23" t="s">
        <v>52</v>
      </c>
      <c r="C996" s="23">
        <v>7.6499999999999999E-2</v>
      </c>
      <c r="D996" s="23">
        <v>7.213E-2</v>
      </c>
      <c r="E996" s="23">
        <v>0.10413</v>
      </c>
      <c r="F996" s="23">
        <v>0.14038</v>
      </c>
      <c r="G996" s="23">
        <v>0.18762999999999999</v>
      </c>
      <c r="H996" s="23">
        <v>0.27112999999999998</v>
      </c>
      <c r="I996" s="23">
        <v>0.46150000000000002</v>
      </c>
    </row>
    <row r="997" spans="1:9" s="21" customFormat="1" ht="20.100000000000001" customHeight="1" x14ac:dyDescent="0.2">
      <c r="A997" s="22">
        <v>44536</v>
      </c>
      <c r="B997" s="23" t="s">
        <v>53</v>
      </c>
      <c r="C997" s="23">
        <v>7.1129999999999999E-2</v>
      </c>
      <c r="D997" s="23">
        <v>7.6880000000000004E-2</v>
      </c>
      <c r="E997" s="23">
        <v>0.10313</v>
      </c>
      <c r="F997" s="23">
        <v>0.14474999999999999</v>
      </c>
      <c r="G997" s="23">
        <v>0.19</v>
      </c>
      <c r="H997" s="23">
        <v>0.27625</v>
      </c>
      <c r="I997" s="23">
        <v>0.46550000000000002</v>
      </c>
    </row>
    <row r="998" spans="1:9" s="21" customFormat="1" ht="20.100000000000001" customHeight="1" x14ac:dyDescent="0.2">
      <c r="A998" s="22">
        <v>44537</v>
      </c>
      <c r="B998" s="23" t="s">
        <v>49</v>
      </c>
      <c r="C998" s="23">
        <v>7.5749999999999998E-2</v>
      </c>
      <c r="D998" s="23">
        <v>7.7880000000000005E-2</v>
      </c>
      <c r="E998" s="23">
        <v>0.10199999999999999</v>
      </c>
      <c r="F998" s="23">
        <v>0.14238000000000001</v>
      </c>
      <c r="G998" s="23">
        <v>0.19825000000000001</v>
      </c>
      <c r="H998" s="23">
        <v>0.28338000000000002</v>
      </c>
      <c r="I998" s="23">
        <v>0.48249999999999998</v>
      </c>
    </row>
    <row r="999" spans="1:9" s="21" customFormat="1" ht="20.100000000000001" customHeight="1" x14ac:dyDescent="0.2">
      <c r="A999" s="22">
        <v>44538</v>
      </c>
      <c r="B999" s="23" t="s">
        <v>50</v>
      </c>
      <c r="C999" s="23">
        <v>7.0250000000000007E-2</v>
      </c>
      <c r="D999" s="23">
        <v>7.4999999999999997E-2</v>
      </c>
      <c r="E999" s="23">
        <v>0.10138</v>
      </c>
      <c r="F999" s="23">
        <v>0.14488000000000001</v>
      </c>
      <c r="G999" s="23">
        <v>0.20050000000000001</v>
      </c>
      <c r="H999" s="23">
        <v>0.28813</v>
      </c>
      <c r="I999" s="23">
        <v>0.48875000000000002</v>
      </c>
    </row>
    <row r="1000" spans="1:9" s="21" customFormat="1" ht="20.100000000000001" customHeight="1" x14ac:dyDescent="0.2">
      <c r="A1000" s="22">
        <v>44539</v>
      </c>
      <c r="B1000" s="23" t="s">
        <v>51</v>
      </c>
      <c r="C1000" s="23">
        <v>7.6880000000000004E-2</v>
      </c>
      <c r="D1000" s="23">
        <v>7.5749999999999998E-2</v>
      </c>
      <c r="E1000" s="23">
        <v>0.10463</v>
      </c>
      <c r="F1000" s="23">
        <v>0.14813000000000001</v>
      </c>
      <c r="G1000" s="23">
        <v>0.20088</v>
      </c>
      <c r="H1000" s="23">
        <v>0.28875000000000001</v>
      </c>
      <c r="I1000" s="23">
        <v>0.49825000000000003</v>
      </c>
    </row>
    <row r="1001" spans="1:9" s="21" customFormat="1" ht="20.100000000000001" customHeight="1" x14ac:dyDescent="0.2">
      <c r="A1001" s="22">
        <v>44540</v>
      </c>
      <c r="B1001" s="23" t="s">
        <v>52</v>
      </c>
      <c r="C1001" s="23">
        <v>7.2249999999999995E-2</v>
      </c>
      <c r="D1001" s="23">
        <v>7.4999999999999997E-2</v>
      </c>
      <c r="E1001" s="23">
        <v>0.10863</v>
      </c>
      <c r="F1001" s="23">
        <v>0.14949999999999999</v>
      </c>
      <c r="G1001" s="23">
        <v>0.19825000000000001</v>
      </c>
      <c r="H1001" s="23">
        <v>0.28825000000000001</v>
      </c>
      <c r="I1001" s="23">
        <v>0.50938000000000005</v>
      </c>
    </row>
    <row r="1002" spans="1:9" s="21" customFormat="1" ht="20.100000000000001" customHeight="1" x14ac:dyDescent="0.2">
      <c r="A1002" s="22">
        <v>44543</v>
      </c>
      <c r="B1002" s="23" t="s">
        <v>53</v>
      </c>
      <c r="C1002" s="23">
        <v>7.7130000000000004E-2</v>
      </c>
      <c r="D1002" s="23">
        <v>7.7130000000000004E-2</v>
      </c>
      <c r="E1002" s="23">
        <v>0.10975</v>
      </c>
      <c r="F1002" s="23">
        <v>0.15038000000000001</v>
      </c>
      <c r="G1002" s="23">
        <v>0.20275000000000001</v>
      </c>
      <c r="H1002" s="23">
        <v>0.29513</v>
      </c>
      <c r="I1002" s="23">
        <v>0.505</v>
      </c>
    </row>
    <row r="1003" spans="1:9" s="21" customFormat="1" ht="20.100000000000001" customHeight="1" x14ac:dyDescent="0.2">
      <c r="A1003" s="22">
        <v>44544</v>
      </c>
      <c r="B1003" s="23" t="s">
        <v>49</v>
      </c>
      <c r="C1003" s="23">
        <v>6.8629999999999997E-2</v>
      </c>
      <c r="D1003" s="23">
        <v>7.7380000000000004E-2</v>
      </c>
      <c r="E1003" s="23">
        <v>0.1075</v>
      </c>
      <c r="F1003" s="23">
        <v>0.14963000000000001</v>
      </c>
      <c r="G1003" s="23">
        <v>0.21088000000000001</v>
      </c>
      <c r="H1003" s="23">
        <v>0.29113</v>
      </c>
      <c r="I1003" s="23">
        <v>0.49787999999999999</v>
      </c>
    </row>
    <row r="1004" spans="1:9" s="21" customFormat="1" ht="20.100000000000001" customHeight="1" x14ac:dyDescent="0.2">
      <c r="A1004" s="22">
        <v>44545</v>
      </c>
      <c r="B1004" s="23" t="s">
        <v>50</v>
      </c>
      <c r="C1004" s="23">
        <v>7.8130000000000005E-2</v>
      </c>
      <c r="D1004" s="23">
        <v>7.85E-2</v>
      </c>
      <c r="E1004" s="23">
        <v>0.10863</v>
      </c>
      <c r="F1004" s="23">
        <v>0.15787999999999999</v>
      </c>
      <c r="G1004" s="23">
        <v>0.21562999999999999</v>
      </c>
      <c r="H1004" s="23">
        <v>0.30149999999999999</v>
      </c>
      <c r="I1004" s="23">
        <v>0.51688000000000001</v>
      </c>
    </row>
    <row r="1005" spans="1:9" s="21" customFormat="1" ht="20.100000000000001" customHeight="1" x14ac:dyDescent="0.2">
      <c r="A1005" s="22">
        <v>44546</v>
      </c>
      <c r="B1005" s="23" t="s">
        <v>51</v>
      </c>
      <c r="C1005" s="23">
        <v>7.6380000000000003E-2</v>
      </c>
      <c r="D1005" s="23">
        <v>7.5130000000000002E-2</v>
      </c>
      <c r="E1005" s="23">
        <v>0.10388</v>
      </c>
      <c r="F1005" s="23">
        <v>0.15387999999999999</v>
      </c>
      <c r="G1005" s="23">
        <v>0.21362999999999999</v>
      </c>
      <c r="H1005" s="23">
        <v>0.3115</v>
      </c>
      <c r="I1005" s="23">
        <v>0.52463000000000004</v>
      </c>
    </row>
    <row r="1006" spans="1:9" s="21" customFormat="1" ht="20.100000000000001" customHeight="1" x14ac:dyDescent="0.2">
      <c r="A1006" s="22">
        <v>44547</v>
      </c>
      <c r="B1006" s="23" t="s">
        <v>52</v>
      </c>
      <c r="C1006" s="23">
        <v>7.4249999999999997E-2</v>
      </c>
      <c r="D1006" s="23">
        <v>7.6380000000000003E-2</v>
      </c>
      <c r="E1006" s="23">
        <v>0.10249999999999999</v>
      </c>
      <c r="F1006" s="23">
        <v>0.14838000000000001</v>
      </c>
      <c r="G1006" s="23">
        <v>0.21263000000000001</v>
      </c>
      <c r="H1006" s="23">
        <v>0.31274999999999997</v>
      </c>
      <c r="I1006" s="23">
        <v>0.52963000000000005</v>
      </c>
    </row>
    <row r="1007" spans="1:9" s="21" customFormat="1" ht="20.100000000000001" customHeight="1" x14ac:dyDescent="0.2">
      <c r="A1007" s="22">
        <v>44550</v>
      </c>
      <c r="B1007" s="23" t="s">
        <v>53</v>
      </c>
      <c r="C1007" s="23">
        <v>7.2499999999999995E-2</v>
      </c>
      <c r="D1007" s="23">
        <v>7.3630000000000001E-2</v>
      </c>
      <c r="E1007" s="23">
        <v>0.10349999999999999</v>
      </c>
      <c r="F1007" s="23">
        <v>0.14424999999999999</v>
      </c>
      <c r="G1007" s="23">
        <v>0.21425</v>
      </c>
      <c r="H1007" s="23">
        <v>0.31663000000000002</v>
      </c>
      <c r="I1007" s="23">
        <v>0.53188000000000002</v>
      </c>
    </row>
    <row r="1008" spans="1:9" s="21" customFormat="1" ht="20.100000000000001" customHeight="1" x14ac:dyDescent="0.2">
      <c r="A1008" s="22">
        <v>44551</v>
      </c>
      <c r="B1008" s="23" t="s">
        <v>49</v>
      </c>
      <c r="C1008" s="23">
        <v>7.288E-2</v>
      </c>
      <c r="D1008" s="23">
        <v>7.6630000000000004E-2</v>
      </c>
      <c r="E1008" s="23">
        <v>0.10425</v>
      </c>
      <c r="F1008" s="23">
        <v>0.15875</v>
      </c>
      <c r="G1008" s="23">
        <v>0.216</v>
      </c>
      <c r="H1008" s="23">
        <v>0.32550000000000001</v>
      </c>
      <c r="I1008" s="23">
        <v>0.54200000000000004</v>
      </c>
    </row>
    <row r="1009" spans="1:9" s="21" customFormat="1" ht="20.100000000000001" customHeight="1" x14ac:dyDescent="0.2">
      <c r="A1009" s="22">
        <v>44552</v>
      </c>
      <c r="B1009" s="23" t="s">
        <v>50</v>
      </c>
      <c r="C1009" s="23">
        <v>7.0499999999999993E-2</v>
      </c>
      <c r="D1009" s="23">
        <v>7.1879999999999999E-2</v>
      </c>
      <c r="E1009" s="23">
        <v>0.10274999999999999</v>
      </c>
      <c r="F1009" s="23">
        <v>0.15487999999999999</v>
      </c>
      <c r="G1009" s="23">
        <v>0.21138000000000001</v>
      </c>
      <c r="H1009" s="23">
        <v>0.32638</v>
      </c>
      <c r="I1009" s="23">
        <v>0.55337999999999998</v>
      </c>
    </row>
    <row r="1010" spans="1:9" s="21" customFormat="1" ht="20.100000000000001" customHeight="1" x14ac:dyDescent="0.2">
      <c r="A1010" s="22">
        <v>44553</v>
      </c>
      <c r="B1010" s="23" t="s">
        <v>51</v>
      </c>
      <c r="C1010" s="23">
        <v>7.5130000000000002E-2</v>
      </c>
      <c r="D1010" s="23">
        <v>7.5130000000000002E-2</v>
      </c>
      <c r="E1010" s="23">
        <v>0.10188</v>
      </c>
      <c r="F1010" s="23">
        <v>0.15562999999999999</v>
      </c>
      <c r="G1010" s="23">
        <v>0.21975</v>
      </c>
      <c r="H1010" s="23">
        <v>0.33638000000000001</v>
      </c>
      <c r="I1010" s="23">
        <v>0.56113000000000002</v>
      </c>
    </row>
    <row r="1011" spans="1:9" s="21" customFormat="1" ht="20.100000000000001" customHeight="1" x14ac:dyDescent="0.2">
      <c r="A1011" s="22">
        <v>44554</v>
      </c>
      <c r="B1011" s="23" t="s">
        <v>52</v>
      </c>
      <c r="C1011" s="23">
        <v>6.9750000000000006E-2</v>
      </c>
      <c r="D1011" s="23">
        <v>7.3249999999999996E-2</v>
      </c>
      <c r="E1011" s="23">
        <v>0.10125000000000001</v>
      </c>
      <c r="F1011" s="23">
        <v>0.14938000000000001</v>
      </c>
      <c r="G1011" s="23">
        <v>0.21787999999999999</v>
      </c>
      <c r="H1011" s="23">
        <v>0.34325</v>
      </c>
      <c r="I1011" s="23">
        <v>0.56713000000000002</v>
      </c>
    </row>
    <row r="1012" spans="1:9" s="21" customFormat="1" ht="20.100000000000001" customHeight="1" x14ac:dyDescent="0.2">
      <c r="A1012" s="22">
        <v>44559</v>
      </c>
      <c r="B1012" s="23" t="s">
        <v>50</v>
      </c>
      <c r="C1012" s="23">
        <v>7.2749999999999995E-2</v>
      </c>
      <c r="D1012" s="23">
        <v>7.6499999999999999E-2</v>
      </c>
      <c r="E1012" s="23">
        <v>0.10425</v>
      </c>
      <c r="F1012" s="23">
        <v>0.15825</v>
      </c>
      <c r="G1012" s="23">
        <v>0.22375</v>
      </c>
      <c r="H1012" s="23">
        <v>0.35437999999999997</v>
      </c>
      <c r="I1012" s="23">
        <v>0.58599999999999997</v>
      </c>
    </row>
    <row r="1013" spans="1:9" s="21" customFormat="1" ht="20.100000000000001" customHeight="1" x14ac:dyDescent="0.2">
      <c r="A1013" s="22">
        <v>44560</v>
      </c>
      <c r="B1013" s="23" t="s">
        <v>51</v>
      </c>
      <c r="C1013" s="23">
        <v>7.263E-2</v>
      </c>
      <c r="D1013" s="23">
        <v>7.6249999999999998E-2</v>
      </c>
      <c r="E1013" s="23">
        <v>0.10188</v>
      </c>
      <c r="F1013" s="23">
        <v>0.1545</v>
      </c>
      <c r="G1013" s="23">
        <v>0.21437999999999999</v>
      </c>
      <c r="H1013" s="23">
        <v>0.34512999999999999</v>
      </c>
      <c r="I1013" s="23">
        <v>0.58875</v>
      </c>
    </row>
    <row r="1014" spans="1:9" s="21" customFormat="1" ht="20.100000000000001" customHeight="1" x14ac:dyDescent="0.2">
      <c r="A1014" s="22">
        <v>44561</v>
      </c>
      <c r="B1014" s="23" t="s">
        <v>52</v>
      </c>
      <c r="C1014" s="23">
        <v>6.4380000000000007E-2</v>
      </c>
      <c r="D1014" s="23">
        <v>7.6380000000000003E-2</v>
      </c>
      <c r="E1014" s="23">
        <v>0.10125000000000001</v>
      </c>
      <c r="F1014" s="23">
        <v>0.1525</v>
      </c>
      <c r="G1014" s="23">
        <v>0.20913000000000001</v>
      </c>
      <c r="H1014" s="23">
        <v>0.33875</v>
      </c>
      <c r="I1014" s="23">
        <v>0.58313000000000004</v>
      </c>
    </row>
    <row r="1015" spans="1:9" s="21" customFormat="1" ht="20.100000000000001" customHeight="1" x14ac:dyDescent="0.2">
      <c r="A1015" s="22">
        <v>44565</v>
      </c>
      <c r="B1015" s="23" t="s">
        <v>49</v>
      </c>
      <c r="C1015" s="23">
        <v>7.2289999999999993E-2</v>
      </c>
      <c r="D1015" s="23"/>
      <c r="E1015" s="23">
        <v>0.10371</v>
      </c>
      <c r="F1015" s="23"/>
      <c r="G1015" s="23">
        <v>0.216</v>
      </c>
      <c r="H1015" s="23">
        <v>0.34286</v>
      </c>
      <c r="I1015" s="23">
        <v>0.60299999999999998</v>
      </c>
    </row>
    <row r="1016" spans="1:9" s="21" customFormat="1" ht="20.100000000000001" customHeight="1" x14ac:dyDescent="0.2">
      <c r="A1016" s="22">
        <v>44566</v>
      </c>
      <c r="B1016" s="23" t="s">
        <v>50</v>
      </c>
      <c r="C1016" s="23">
        <v>7.0139999999999994E-2</v>
      </c>
      <c r="D1016" s="23"/>
      <c r="E1016" s="23">
        <v>0.10199999999999999</v>
      </c>
      <c r="F1016" s="23"/>
      <c r="G1016" s="23">
        <v>0.22556999999999999</v>
      </c>
      <c r="H1016" s="23">
        <v>0.34</v>
      </c>
      <c r="I1016" s="23">
        <v>0.59628999999999999</v>
      </c>
    </row>
    <row r="1017" spans="1:9" s="21" customFormat="1" ht="20.100000000000001" customHeight="1" x14ac:dyDescent="0.2">
      <c r="A1017" s="22">
        <v>44567</v>
      </c>
      <c r="B1017" s="23" t="s">
        <v>51</v>
      </c>
      <c r="C1017" s="23">
        <v>7.4139999999999998E-2</v>
      </c>
      <c r="D1017" s="23"/>
      <c r="E1017" s="23">
        <v>0.10414</v>
      </c>
      <c r="F1017" s="23"/>
      <c r="G1017" s="23">
        <v>0.23129</v>
      </c>
      <c r="H1017" s="23">
        <v>0.36657000000000001</v>
      </c>
      <c r="I1017" s="23">
        <v>0.64771000000000001</v>
      </c>
    </row>
    <row r="1018" spans="1:9" s="21" customFormat="1" ht="20.100000000000001" customHeight="1" x14ac:dyDescent="0.2">
      <c r="A1018" s="22">
        <v>44568</v>
      </c>
      <c r="B1018" s="23" t="s">
        <v>52</v>
      </c>
      <c r="C1018" s="23">
        <v>7.2709999999999997E-2</v>
      </c>
      <c r="D1018" s="23"/>
      <c r="E1018" s="23">
        <v>0.10528999999999999</v>
      </c>
      <c r="F1018" s="23"/>
      <c r="G1018" s="23">
        <v>0.23613999999999999</v>
      </c>
      <c r="H1018" s="23">
        <v>0.37642999999999999</v>
      </c>
      <c r="I1018" s="23">
        <v>0.66171000000000002</v>
      </c>
    </row>
    <row r="1019" spans="1:9" s="21" customFormat="1" ht="20.100000000000001" customHeight="1" x14ac:dyDescent="0.2">
      <c r="A1019" s="22">
        <v>44571</v>
      </c>
      <c r="B1019" s="23" t="s">
        <v>53</v>
      </c>
      <c r="C1019" s="23">
        <v>7.7429999999999999E-2</v>
      </c>
      <c r="D1019" s="23"/>
      <c r="E1019" s="23">
        <v>0.104</v>
      </c>
      <c r="F1019" s="23"/>
      <c r="G1019" s="23">
        <v>0.23829</v>
      </c>
      <c r="H1019" s="23">
        <v>0.38300000000000001</v>
      </c>
      <c r="I1019" s="23">
        <v>0.67686000000000002</v>
      </c>
    </row>
    <row r="1020" spans="1:9" s="21" customFormat="1" ht="20.100000000000001" customHeight="1" x14ac:dyDescent="0.2">
      <c r="A1020" s="22">
        <v>44572</v>
      </c>
      <c r="B1020" s="23" t="s">
        <v>49</v>
      </c>
      <c r="C1020" s="23">
        <v>7.7429999999999999E-2</v>
      </c>
      <c r="D1020" s="23"/>
      <c r="E1020" s="23">
        <v>0.113</v>
      </c>
      <c r="F1020" s="23"/>
      <c r="G1020" s="23">
        <v>0.24443000000000001</v>
      </c>
      <c r="H1020" s="23">
        <v>0.38613999999999998</v>
      </c>
      <c r="I1020" s="23">
        <v>0.69557000000000002</v>
      </c>
    </row>
    <row r="1021" spans="1:9" s="21" customFormat="1" ht="20.100000000000001" customHeight="1" x14ac:dyDescent="0.2">
      <c r="A1021" s="22">
        <v>44573</v>
      </c>
      <c r="B1021" s="23" t="s">
        <v>50</v>
      </c>
      <c r="C1021" s="23">
        <v>7.7289999999999998E-2</v>
      </c>
      <c r="D1021" s="23"/>
      <c r="E1021" s="23">
        <v>0.11014</v>
      </c>
      <c r="F1021" s="23"/>
      <c r="G1021" s="23">
        <v>0.23843</v>
      </c>
      <c r="H1021" s="23">
        <v>0.38371</v>
      </c>
      <c r="I1021" s="23">
        <v>0.69913999999999998</v>
      </c>
    </row>
    <row r="1022" spans="1:9" s="21" customFormat="1" ht="20.100000000000001" customHeight="1" x14ac:dyDescent="0.2">
      <c r="A1022" s="22">
        <v>44574</v>
      </c>
      <c r="B1022" s="23" t="s">
        <v>51</v>
      </c>
      <c r="C1022" s="23">
        <v>7.7429999999999999E-2</v>
      </c>
      <c r="D1022" s="23"/>
      <c r="E1022" s="23">
        <v>0.10629</v>
      </c>
      <c r="F1022" s="23"/>
      <c r="G1022" s="23">
        <v>0.23913999999999999</v>
      </c>
      <c r="H1022" s="23">
        <v>0.39685999999999999</v>
      </c>
      <c r="I1022" s="23">
        <v>0.71357000000000004</v>
      </c>
    </row>
    <row r="1023" spans="1:9" s="21" customFormat="1" ht="20.100000000000001" customHeight="1" x14ac:dyDescent="0.2">
      <c r="A1023" s="22">
        <v>44575</v>
      </c>
      <c r="B1023" s="23" t="s">
        <v>52</v>
      </c>
      <c r="C1023" s="23">
        <v>7.3999999999999996E-2</v>
      </c>
      <c r="D1023" s="23"/>
      <c r="E1023" s="23">
        <v>0.10329000000000001</v>
      </c>
      <c r="F1023" s="23"/>
      <c r="G1023" s="23">
        <v>0.24129</v>
      </c>
      <c r="H1023" s="23">
        <v>0.39500000000000002</v>
      </c>
      <c r="I1023" s="23">
        <v>0.72570999999999997</v>
      </c>
    </row>
    <row r="1024" spans="1:9" s="21" customFormat="1" ht="20.100000000000001" customHeight="1" x14ac:dyDescent="0.2">
      <c r="A1024" s="22">
        <v>44578</v>
      </c>
      <c r="B1024" s="23" t="s">
        <v>53</v>
      </c>
      <c r="C1024" s="23"/>
      <c r="D1024" s="23"/>
      <c r="E1024" s="23">
        <v>0.10299999999999999</v>
      </c>
      <c r="F1024" s="23"/>
      <c r="G1024" s="23">
        <v>0.248</v>
      </c>
      <c r="H1024" s="23">
        <v>0.41814000000000001</v>
      </c>
      <c r="I1024" s="23">
        <v>0.76671</v>
      </c>
    </row>
    <row r="1025" spans="1:9" s="21" customFormat="1" ht="20.100000000000001" customHeight="1" x14ac:dyDescent="0.2">
      <c r="A1025" s="22">
        <v>44579</v>
      </c>
      <c r="B1025" s="23" t="s">
        <v>49</v>
      </c>
      <c r="C1025" s="23">
        <v>7.0290000000000005E-2</v>
      </c>
      <c r="D1025" s="23"/>
      <c r="E1025" s="23">
        <v>0.10371</v>
      </c>
      <c r="F1025" s="23"/>
      <c r="G1025" s="23">
        <v>0.254</v>
      </c>
      <c r="H1025" s="23">
        <v>0.42986000000000002</v>
      </c>
      <c r="I1025" s="23">
        <v>0.78700000000000003</v>
      </c>
    </row>
    <row r="1026" spans="1:9" s="21" customFormat="1" ht="20.100000000000001" customHeight="1" x14ac:dyDescent="0.2">
      <c r="A1026" s="22">
        <v>44580</v>
      </c>
      <c r="B1026" s="23" t="s">
        <v>50</v>
      </c>
      <c r="C1026" s="23">
        <v>7.8140000000000001E-2</v>
      </c>
      <c r="D1026" s="23"/>
      <c r="E1026" s="23">
        <v>0.10914</v>
      </c>
      <c r="F1026" s="23"/>
      <c r="G1026" s="23">
        <v>0.25513999999999998</v>
      </c>
      <c r="H1026" s="23">
        <v>0.44713999999999998</v>
      </c>
      <c r="I1026" s="23">
        <v>0.80357000000000001</v>
      </c>
    </row>
    <row r="1027" spans="1:9" s="21" customFormat="1" ht="20.100000000000001" customHeight="1" x14ac:dyDescent="0.2">
      <c r="A1027" s="22">
        <v>44581</v>
      </c>
      <c r="B1027" s="23" t="s">
        <v>51</v>
      </c>
      <c r="C1027" s="23">
        <v>7.843E-2</v>
      </c>
      <c r="D1027" s="23"/>
      <c r="E1027" s="23">
        <v>0.10929</v>
      </c>
      <c r="F1027" s="23"/>
      <c r="G1027" s="23">
        <v>0.25885999999999998</v>
      </c>
      <c r="H1027" s="23">
        <v>0.44629000000000002</v>
      </c>
      <c r="I1027" s="23">
        <v>0.79842999999999997</v>
      </c>
    </row>
    <row r="1028" spans="1:9" s="21" customFormat="1" ht="20.100000000000001" customHeight="1" x14ac:dyDescent="0.2">
      <c r="A1028" s="22">
        <v>44582</v>
      </c>
      <c r="B1028" s="23" t="s">
        <v>52</v>
      </c>
      <c r="C1028" s="23">
        <v>7.4709999999999999E-2</v>
      </c>
      <c r="D1028" s="23"/>
      <c r="E1028" s="23">
        <v>0.10771</v>
      </c>
      <c r="F1028" s="23"/>
      <c r="G1028" s="23">
        <v>0.25770999999999999</v>
      </c>
      <c r="H1028" s="23">
        <v>0.44442999999999999</v>
      </c>
      <c r="I1028" s="23">
        <v>0.79857</v>
      </c>
    </row>
    <row r="1029" spans="1:9" s="21" customFormat="1" ht="20.100000000000001" customHeight="1" x14ac:dyDescent="0.2">
      <c r="A1029" s="22">
        <v>44585</v>
      </c>
      <c r="B1029" s="23" t="s">
        <v>53</v>
      </c>
      <c r="C1029" s="23">
        <v>7.671E-2</v>
      </c>
      <c r="D1029" s="23"/>
      <c r="E1029" s="23">
        <v>0.10843</v>
      </c>
      <c r="F1029" s="23"/>
      <c r="G1029" s="23">
        <v>0.26713999999999999</v>
      </c>
      <c r="H1029" s="23">
        <v>0.44857000000000002</v>
      </c>
      <c r="I1029" s="23">
        <v>0.79357</v>
      </c>
    </row>
    <row r="1030" spans="1:9" s="21" customFormat="1" ht="20.100000000000001" customHeight="1" x14ac:dyDescent="0.2">
      <c r="A1030" s="22">
        <v>44586</v>
      </c>
      <c r="B1030" s="23" t="s">
        <v>49</v>
      </c>
      <c r="C1030" s="23">
        <v>7.886E-2</v>
      </c>
      <c r="D1030" s="23"/>
      <c r="E1030" s="23">
        <v>0.10786</v>
      </c>
      <c r="F1030" s="23"/>
      <c r="G1030" s="23">
        <v>0.26756999999999997</v>
      </c>
      <c r="H1030" s="23">
        <v>0.45029000000000002</v>
      </c>
      <c r="I1030" s="23">
        <v>0.78986000000000001</v>
      </c>
    </row>
    <row r="1031" spans="1:9" s="21" customFormat="1" ht="20.100000000000001" customHeight="1" x14ac:dyDescent="0.2">
      <c r="A1031" s="22">
        <v>44587</v>
      </c>
      <c r="B1031" s="23" t="s">
        <v>50</v>
      </c>
      <c r="C1031" s="23">
        <v>7.8140000000000001E-2</v>
      </c>
      <c r="D1031" s="23"/>
      <c r="E1031" s="23">
        <v>0.10914</v>
      </c>
      <c r="F1031" s="23"/>
      <c r="G1031" s="23">
        <v>0.27756999999999998</v>
      </c>
      <c r="H1031" s="23">
        <v>0.46400000000000002</v>
      </c>
      <c r="I1031" s="23">
        <v>0.80871000000000004</v>
      </c>
    </row>
    <row r="1032" spans="1:9" s="21" customFormat="1" ht="20.100000000000001" customHeight="1" x14ac:dyDescent="0.2">
      <c r="A1032" s="22">
        <v>44588</v>
      </c>
      <c r="B1032" s="23" t="s">
        <v>51</v>
      </c>
      <c r="C1032" s="23">
        <v>7.7429999999999999E-2</v>
      </c>
      <c r="D1032" s="23"/>
      <c r="E1032" s="23">
        <v>0.105</v>
      </c>
      <c r="F1032" s="23"/>
      <c r="G1032" s="23">
        <v>0.29899999999999999</v>
      </c>
      <c r="H1032" s="23">
        <v>0.51871</v>
      </c>
      <c r="I1032" s="23">
        <v>0.92157</v>
      </c>
    </row>
    <row r="1033" spans="1:9" s="21" customFormat="1" ht="20.100000000000001" customHeight="1" x14ac:dyDescent="0.2">
      <c r="A1033" s="22">
        <v>44589</v>
      </c>
      <c r="B1033" s="23" t="s">
        <v>52</v>
      </c>
      <c r="C1033" s="23">
        <v>7.8140000000000001E-2</v>
      </c>
      <c r="D1033" s="23"/>
      <c r="E1033" s="23">
        <v>0.10629</v>
      </c>
      <c r="F1033" s="23"/>
      <c r="G1033" s="23">
        <v>0.31657000000000002</v>
      </c>
      <c r="H1033" s="23">
        <v>0.53442999999999996</v>
      </c>
      <c r="I1033" s="23">
        <v>0.94786000000000004</v>
      </c>
    </row>
    <row r="1034" spans="1:9" s="21" customFormat="1" ht="20.100000000000001" customHeight="1" x14ac:dyDescent="0.2">
      <c r="A1034" s="22">
        <v>44592</v>
      </c>
      <c r="B1034" s="23" t="s">
        <v>53</v>
      </c>
      <c r="C1034" s="23">
        <v>7.6999999999999999E-2</v>
      </c>
      <c r="D1034" s="23"/>
      <c r="E1034" s="23">
        <v>0.10686</v>
      </c>
      <c r="F1034" s="23"/>
      <c r="G1034" s="23">
        <v>0.30886000000000002</v>
      </c>
      <c r="H1034" s="23">
        <v>0.54400000000000004</v>
      </c>
      <c r="I1034" s="23">
        <v>0.96228999999999998</v>
      </c>
    </row>
    <row r="1035" spans="1:9" s="21" customFormat="1" ht="20.100000000000001" customHeight="1" x14ac:dyDescent="0.2">
      <c r="A1035" s="22">
        <v>44593</v>
      </c>
      <c r="B1035" s="23" t="s">
        <v>49</v>
      </c>
      <c r="C1035" s="23">
        <v>7.7429999999999999E-2</v>
      </c>
      <c r="D1035" s="23"/>
      <c r="E1035" s="23">
        <v>0.113</v>
      </c>
      <c r="F1035" s="23"/>
      <c r="G1035" s="23">
        <v>0.30270999999999998</v>
      </c>
      <c r="H1035" s="23">
        <v>0.52956999999999999</v>
      </c>
      <c r="I1035" s="23">
        <v>0.93457000000000001</v>
      </c>
    </row>
    <row r="1036" spans="1:9" s="21" customFormat="1" ht="20.100000000000001" customHeight="1" x14ac:dyDescent="0.2">
      <c r="A1036" s="22">
        <v>44594</v>
      </c>
      <c r="B1036" s="23" t="s">
        <v>50</v>
      </c>
      <c r="C1036" s="23">
        <v>7.8140000000000001E-2</v>
      </c>
      <c r="D1036" s="23"/>
      <c r="E1036" s="23">
        <v>0.10814</v>
      </c>
      <c r="F1036" s="23"/>
      <c r="G1036" s="23">
        <v>0.31057000000000001</v>
      </c>
      <c r="H1036" s="23">
        <v>0.52314000000000005</v>
      </c>
      <c r="I1036" s="23">
        <v>0.92971000000000004</v>
      </c>
    </row>
    <row r="1037" spans="1:9" s="21" customFormat="1" ht="20.100000000000001" customHeight="1" x14ac:dyDescent="0.2">
      <c r="A1037" s="22">
        <v>44595</v>
      </c>
      <c r="B1037" s="23" t="s">
        <v>51</v>
      </c>
      <c r="C1037" s="23">
        <v>7.843E-2</v>
      </c>
      <c r="D1037" s="23"/>
      <c r="E1037" s="23">
        <v>0.11129</v>
      </c>
      <c r="F1037" s="23"/>
      <c r="G1037" s="23">
        <v>0.315</v>
      </c>
      <c r="H1037" s="23">
        <v>0.52871000000000001</v>
      </c>
      <c r="I1037" s="23">
        <v>0.94386000000000003</v>
      </c>
    </row>
    <row r="1038" spans="1:9" s="21" customFormat="1" ht="20.100000000000001" customHeight="1" x14ac:dyDescent="0.2">
      <c r="A1038" s="22">
        <v>44596</v>
      </c>
      <c r="B1038" s="23" t="s">
        <v>52</v>
      </c>
      <c r="C1038" s="23">
        <v>7.6999999999999999E-2</v>
      </c>
      <c r="D1038" s="23"/>
      <c r="E1038" s="23">
        <v>0.11529</v>
      </c>
      <c r="F1038" s="23"/>
      <c r="G1038" s="23">
        <v>0.33900000000000002</v>
      </c>
      <c r="H1038" s="23">
        <v>0.55542999999999998</v>
      </c>
      <c r="I1038" s="23">
        <v>0.999</v>
      </c>
    </row>
    <row r="1039" spans="1:9" s="21" customFormat="1" ht="20.100000000000001" customHeight="1" x14ac:dyDescent="0.2">
      <c r="A1039" s="22">
        <v>44599</v>
      </c>
      <c r="B1039" s="23" t="s">
        <v>53</v>
      </c>
      <c r="C1039" s="23">
        <v>7.714E-2</v>
      </c>
      <c r="D1039" s="23"/>
      <c r="E1039" s="23">
        <v>0.12471</v>
      </c>
      <c r="F1039" s="23"/>
      <c r="G1039" s="23">
        <v>0.36242999999999997</v>
      </c>
      <c r="H1039" s="23">
        <v>0.62256999999999996</v>
      </c>
      <c r="I1039" s="23">
        <v>1.09171</v>
      </c>
    </row>
    <row r="1040" spans="1:9" s="21" customFormat="1" ht="20.100000000000001" customHeight="1" x14ac:dyDescent="0.2">
      <c r="A1040" s="22">
        <v>44600</v>
      </c>
      <c r="B1040" s="23" t="s">
        <v>49</v>
      </c>
      <c r="C1040" s="23">
        <v>7.6999999999999999E-2</v>
      </c>
      <c r="D1040" s="23"/>
      <c r="E1040" s="23">
        <v>0.12570999999999999</v>
      </c>
      <c r="F1040" s="23"/>
      <c r="G1040" s="23">
        <v>0.36629</v>
      </c>
      <c r="H1040" s="23">
        <v>0.63985999999999998</v>
      </c>
      <c r="I1040" s="23">
        <v>1.09171</v>
      </c>
    </row>
    <row r="1041" spans="1:9" s="21" customFormat="1" ht="20.100000000000001" customHeight="1" x14ac:dyDescent="0.2">
      <c r="A1041" s="22">
        <v>44601</v>
      </c>
      <c r="B1041" s="23" t="s">
        <v>50</v>
      </c>
      <c r="C1041" s="23">
        <v>7.7710000000000001E-2</v>
      </c>
      <c r="D1041" s="23"/>
      <c r="E1041" s="23">
        <v>0.12271</v>
      </c>
      <c r="F1041" s="23"/>
      <c r="G1041" s="23">
        <v>0.37742999999999999</v>
      </c>
      <c r="H1041" s="23">
        <v>0.63456999999999997</v>
      </c>
      <c r="I1041" s="23">
        <v>1.09371</v>
      </c>
    </row>
    <row r="1042" spans="1:9" s="21" customFormat="1" ht="20.100000000000001" customHeight="1" x14ac:dyDescent="0.2">
      <c r="A1042" s="22">
        <v>44602</v>
      </c>
      <c r="B1042" s="23" t="s">
        <v>51</v>
      </c>
      <c r="C1042" s="23">
        <v>7.757E-2</v>
      </c>
      <c r="D1042" s="23"/>
      <c r="E1042" s="23">
        <v>0.12371</v>
      </c>
      <c r="F1042" s="23"/>
      <c r="G1042" s="23">
        <v>0.39485999999999999</v>
      </c>
      <c r="H1042" s="23">
        <v>0.66442999999999997</v>
      </c>
      <c r="I1042" s="23">
        <v>1.1245700000000001</v>
      </c>
    </row>
    <row r="1043" spans="1:9" s="21" customFormat="1" ht="20.100000000000001" customHeight="1" x14ac:dyDescent="0.2">
      <c r="A1043" s="22">
        <v>44603</v>
      </c>
      <c r="B1043" s="23" t="s">
        <v>52</v>
      </c>
      <c r="C1043" s="23">
        <v>7.843E-2</v>
      </c>
      <c r="D1043" s="23"/>
      <c r="E1043" s="23">
        <v>0.19114</v>
      </c>
      <c r="F1043" s="23"/>
      <c r="G1043" s="23">
        <v>0.50643000000000005</v>
      </c>
      <c r="H1043" s="23">
        <v>0.84043000000000001</v>
      </c>
      <c r="I1043" s="23">
        <v>1.39229</v>
      </c>
    </row>
    <row r="1044" spans="1:9" s="21" customFormat="1" ht="20.100000000000001" customHeight="1" x14ac:dyDescent="0.2">
      <c r="A1044" s="22">
        <v>44606</v>
      </c>
      <c r="B1044" s="23" t="s">
        <v>53</v>
      </c>
      <c r="C1044" s="23">
        <v>7.671E-2</v>
      </c>
      <c r="D1044" s="23"/>
      <c r="E1044" s="23">
        <v>0.12570999999999999</v>
      </c>
      <c r="F1044" s="23"/>
      <c r="G1044" s="23">
        <v>0.45856999999999998</v>
      </c>
      <c r="H1044" s="23">
        <v>0.79386000000000001</v>
      </c>
      <c r="I1044" s="23">
        <v>1.3221400000000001</v>
      </c>
    </row>
    <row r="1045" spans="1:9" s="21" customFormat="1" ht="20.100000000000001" customHeight="1" x14ac:dyDescent="0.2">
      <c r="A1045" s="22">
        <v>44607</v>
      </c>
      <c r="B1045" s="23" t="s">
        <v>49</v>
      </c>
      <c r="C1045" s="23">
        <v>7.4139999999999998E-2</v>
      </c>
      <c r="D1045" s="23"/>
      <c r="E1045" s="23">
        <v>0.11971</v>
      </c>
      <c r="F1045" s="23"/>
      <c r="G1045" s="23">
        <v>0.46871000000000002</v>
      </c>
      <c r="H1045" s="23">
        <v>0.79271000000000003</v>
      </c>
      <c r="I1045" s="23">
        <v>1.3427100000000001</v>
      </c>
    </row>
    <row r="1046" spans="1:9" s="21" customFormat="1" ht="20.100000000000001" customHeight="1" x14ac:dyDescent="0.2">
      <c r="A1046" s="22">
        <v>44608</v>
      </c>
      <c r="B1046" s="23" t="s">
        <v>50</v>
      </c>
      <c r="C1046" s="23">
        <v>7.3709999999999998E-2</v>
      </c>
      <c r="D1046" s="23"/>
      <c r="E1046" s="23">
        <v>0.13671</v>
      </c>
      <c r="F1046" s="23"/>
      <c r="G1046" s="23">
        <v>0.48814000000000002</v>
      </c>
      <c r="H1046" s="23">
        <v>0.78713999999999995</v>
      </c>
      <c r="I1046" s="23">
        <v>1.32986</v>
      </c>
    </row>
    <row r="1047" spans="1:9" s="21" customFormat="1" ht="20.100000000000001" customHeight="1" x14ac:dyDescent="0.2">
      <c r="A1047" s="22">
        <v>44609</v>
      </c>
      <c r="B1047" s="23" t="s">
        <v>51</v>
      </c>
      <c r="C1047" s="23">
        <v>7.6289999999999997E-2</v>
      </c>
      <c r="D1047" s="23"/>
      <c r="E1047" s="23">
        <v>0.16170999999999999</v>
      </c>
      <c r="F1047" s="23"/>
      <c r="G1047" s="23">
        <v>0.48099999999999998</v>
      </c>
      <c r="H1047" s="23">
        <v>0.77356999999999998</v>
      </c>
      <c r="I1047" s="23">
        <v>1.2888599999999999</v>
      </c>
    </row>
    <row r="1048" spans="1:9" s="21" customFormat="1" ht="20.100000000000001" customHeight="1" x14ac:dyDescent="0.2">
      <c r="A1048" s="22">
        <v>44610</v>
      </c>
      <c r="B1048" s="23" t="s">
        <v>52</v>
      </c>
      <c r="C1048" s="23">
        <v>7.5569999999999998E-2</v>
      </c>
      <c r="D1048" s="23"/>
      <c r="E1048" s="23">
        <v>0.17071</v>
      </c>
      <c r="F1048" s="23"/>
      <c r="G1048" s="23">
        <v>0.47957</v>
      </c>
      <c r="H1048" s="23">
        <v>0.78129000000000004</v>
      </c>
      <c r="I1048" s="23">
        <v>1.28586</v>
      </c>
    </row>
    <row r="1049" spans="1:9" s="21" customFormat="1" ht="20.100000000000001" customHeight="1" x14ac:dyDescent="0.2">
      <c r="A1049" s="22">
        <v>44613</v>
      </c>
      <c r="B1049" s="23" t="s">
        <v>53</v>
      </c>
      <c r="C1049" s="23"/>
      <c r="D1049" s="23"/>
      <c r="E1049" s="23">
        <v>0.16200000000000001</v>
      </c>
      <c r="F1049" s="23"/>
      <c r="G1049" s="23">
        <v>0.46385999999999999</v>
      </c>
      <c r="H1049" s="23">
        <v>0.75829000000000002</v>
      </c>
      <c r="I1049" s="23">
        <v>1.2577100000000001</v>
      </c>
    </row>
    <row r="1050" spans="1:9" s="21" customFormat="1" ht="20.100000000000001" customHeight="1" x14ac:dyDescent="0.2">
      <c r="A1050" s="22">
        <v>44614</v>
      </c>
      <c r="B1050" s="23" t="s">
        <v>49</v>
      </c>
      <c r="C1050" s="23">
        <v>7.6569999999999999E-2</v>
      </c>
      <c r="D1050" s="23"/>
      <c r="E1050" s="23">
        <v>0.17585999999999999</v>
      </c>
      <c r="F1050" s="23"/>
      <c r="G1050" s="23">
        <v>0.48786000000000002</v>
      </c>
      <c r="H1050" s="23">
        <v>0.78142999999999996</v>
      </c>
      <c r="I1050" s="23">
        <v>1.28857</v>
      </c>
    </row>
    <row r="1051" spans="1:9" s="21" customFormat="1" ht="20.100000000000001" customHeight="1" x14ac:dyDescent="0.2">
      <c r="A1051" s="22">
        <v>44615</v>
      </c>
      <c r="B1051" s="23" t="s">
        <v>50</v>
      </c>
      <c r="C1051" s="23">
        <v>7.7429999999999999E-2</v>
      </c>
      <c r="D1051" s="23"/>
      <c r="E1051" s="23">
        <v>0.18686</v>
      </c>
      <c r="F1051" s="23"/>
      <c r="G1051" s="23">
        <v>0.49757000000000001</v>
      </c>
      <c r="H1051" s="23">
        <v>0.82628999999999997</v>
      </c>
      <c r="I1051" s="23">
        <v>1.3368599999999999</v>
      </c>
    </row>
    <row r="1052" spans="1:9" s="21" customFormat="1" ht="20.100000000000001" customHeight="1" x14ac:dyDescent="0.2">
      <c r="A1052" s="22">
        <v>44616</v>
      </c>
      <c r="B1052" s="23" t="s">
        <v>51</v>
      </c>
      <c r="C1052" s="23">
        <v>7.7429999999999999E-2</v>
      </c>
      <c r="D1052" s="23"/>
      <c r="E1052" s="23">
        <v>0.20857000000000001</v>
      </c>
      <c r="F1052" s="23"/>
      <c r="G1052" s="23">
        <v>0.50785999999999998</v>
      </c>
      <c r="H1052" s="23">
        <v>0.80442999999999998</v>
      </c>
      <c r="I1052" s="23">
        <v>1.2862899999999999</v>
      </c>
    </row>
    <row r="1053" spans="1:9" s="21" customFormat="1" ht="20.100000000000001" customHeight="1" x14ac:dyDescent="0.2">
      <c r="A1053" s="22">
        <v>44617</v>
      </c>
      <c r="B1053" s="23" t="s">
        <v>52</v>
      </c>
      <c r="C1053" s="23">
        <v>7.714E-2</v>
      </c>
      <c r="D1053" s="23"/>
      <c r="E1053" s="23">
        <v>0.23057</v>
      </c>
      <c r="F1053" s="23"/>
      <c r="G1053" s="23">
        <v>0.52300000000000002</v>
      </c>
      <c r="H1053" s="23">
        <v>0.82870999999999995</v>
      </c>
      <c r="I1053" s="23">
        <v>1.3307100000000001</v>
      </c>
    </row>
    <row r="1054" spans="1:9" s="21" customFormat="1" ht="20.100000000000001" customHeight="1" x14ac:dyDescent="0.2">
      <c r="A1054" s="22">
        <v>44620</v>
      </c>
      <c r="B1054" s="23" t="s">
        <v>53</v>
      </c>
      <c r="C1054" s="23">
        <v>7.714E-2</v>
      </c>
      <c r="D1054" s="23"/>
      <c r="E1054" s="23">
        <v>0.24143000000000001</v>
      </c>
      <c r="F1054" s="23"/>
      <c r="G1054" s="23">
        <v>0.50429000000000002</v>
      </c>
      <c r="H1054" s="23">
        <v>0.80471000000000004</v>
      </c>
      <c r="I1054" s="23">
        <v>1.288</v>
      </c>
    </row>
    <row r="1055" spans="1:9" s="21" customFormat="1" ht="20.100000000000001" customHeight="1" x14ac:dyDescent="0.2">
      <c r="A1055" s="22">
        <v>44621</v>
      </c>
      <c r="B1055" s="23" t="s">
        <v>49</v>
      </c>
      <c r="C1055" s="23">
        <v>7.6999999999999999E-2</v>
      </c>
      <c r="D1055" s="23"/>
      <c r="E1055" s="23">
        <v>0.23457</v>
      </c>
      <c r="F1055" s="23"/>
      <c r="G1055" s="23">
        <v>0.51085999999999998</v>
      </c>
      <c r="H1055" s="23">
        <v>0.76385999999999998</v>
      </c>
      <c r="I1055" s="23">
        <v>1.1767099999999999</v>
      </c>
    </row>
    <row r="1056" spans="1:9" s="21" customFormat="1" ht="20.100000000000001" customHeight="1" x14ac:dyDescent="0.2">
      <c r="A1056" s="22">
        <v>44622</v>
      </c>
      <c r="B1056" s="23" t="s">
        <v>50</v>
      </c>
      <c r="C1056" s="23">
        <v>7.9430000000000001E-2</v>
      </c>
      <c r="D1056" s="23"/>
      <c r="E1056" s="23">
        <v>0.24243000000000001</v>
      </c>
      <c r="F1056" s="23"/>
      <c r="G1056" s="23">
        <v>0.52214000000000005</v>
      </c>
      <c r="H1056" s="23">
        <v>0.79586000000000001</v>
      </c>
      <c r="I1056" s="23">
        <v>1.2182900000000001</v>
      </c>
    </row>
    <row r="1057" spans="1:9" s="21" customFormat="1" ht="20.100000000000001" customHeight="1" x14ac:dyDescent="0.2">
      <c r="A1057" s="22">
        <v>44623</v>
      </c>
      <c r="B1057" s="23" t="s">
        <v>51</v>
      </c>
      <c r="C1057" s="23">
        <v>7.9000000000000001E-2</v>
      </c>
      <c r="D1057" s="23"/>
      <c r="E1057" s="23">
        <v>0.28914000000000001</v>
      </c>
      <c r="F1057" s="23"/>
      <c r="G1057" s="23">
        <v>0.58313999999999999</v>
      </c>
      <c r="H1057" s="23">
        <v>0.89</v>
      </c>
      <c r="I1057" s="23">
        <v>1.33186</v>
      </c>
    </row>
    <row r="1058" spans="1:9" s="21" customFormat="1" ht="20.100000000000001" customHeight="1" x14ac:dyDescent="0.2">
      <c r="A1058" s="22">
        <v>44624</v>
      </c>
      <c r="B1058" s="23" t="s">
        <v>52</v>
      </c>
      <c r="C1058" s="23">
        <v>7.8140000000000001E-2</v>
      </c>
      <c r="D1058" s="23"/>
      <c r="E1058" s="23">
        <v>0.31014000000000003</v>
      </c>
      <c r="F1058" s="23"/>
      <c r="G1058" s="23">
        <v>0.61014000000000002</v>
      </c>
      <c r="H1058" s="23">
        <v>0.93942999999999999</v>
      </c>
      <c r="I1058" s="23">
        <v>1.35286</v>
      </c>
    </row>
    <row r="1059" spans="1:9" s="21" customFormat="1" ht="20.100000000000001" customHeight="1" x14ac:dyDescent="0.2">
      <c r="A1059" s="22">
        <v>44627</v>
      </c>
      <c r="B1059" s="23" t="s">
        <v>53</v>
      </c>
      <c r="C1059" s="23">
        <v>7.986E-2</v>
      </c>
      <c r="D1059" s="23"/>
      <c r="E1059" s="23">
        <v>0.30629000000000001</v>
      </c>
      <c r="F1059" s="23"/>
      <c r="G1059" s="23">
        <v>0.64285999999999999</v>
      </c>
      <c r="H1059" s="23">
        <v>0.97914000000000001</v>
      </c>
      <c r="I1059" s="23">
        <v>1.38229</v>
      </c>
    </row>
    <row r="1060" spans="1:9" s="21" customFormat="1" ht="20.100000000000001" customHeight="1" x14ac:dyDescent="0.2">
      <c r="A1060" s="22">
        <v>44628</v>
      </c>
      <c r="B1060" s="23" t="s">
        <v>49</v>
      </c>
      <c r="C1060" s="23">
        <v>7.8E-2</v>
      </c>
      <c r="D1060" s="23"/>
      <c r="E1060" s="23">
        <v>0.32113999999999998</v>
      </c>
      <c r="F1060" s="23"/>
      <c r="G1060" s="23">
        <v>0.70299999999999996</v>
      </c>
      <c r="H1060" s="23">
        <v>1.0237099999999999</v>
      </c>
      <c r="I1060" s="23">
        <v>1.44686</v>
      </c>
    </row>
    <row r="1061" spans="1:9" s="21" customFormat="1" ht="20.100000000000001" customHeight="1" x14ac:dyDescent="0.2">
      <c r="A1061" s="22">
        <v>44629</v>
      </c>
      <c r="B1061" s="23" t="s">
        <v>50</v>
      </c>
      <c r="C1061" s="23">
        <v>7.843E-2</v>
      </c>
      <c r="D1061" s="23"/>
      <c r="E1061" s="23">
        <v>0.35171000000000002</v>
      </c>
      <c r="F1061" s="23"/>
      <c r="G1061" s="23">
        <v>0.745</v>
      </c>
      <c r="H1061" s="23">
        <v>1.0448599999999999</v>
      </c>
      <c r="I1061" s="23">
        <v>1.4865699999999999</v>
      </c>
    </row>
    <row r="1062" spans="1:9" s="21" customFormat="1" ht="20.100000000000001" customHeight="1" x14ac:dyDescent="0.2">
      <c r="A1062" s="22">
        <v>44630</v>
      </c>
      <c r="B1062" s="23" t="s">
        <v>51</v>
      </c>
      <c r="C1062" s="23">
        <v>7.9289999999999999E-2</v>
      </c>
      <c r="D1062" s="23"/>
      <c r="E1062" s="23">
        <v>0.38700000000000001</v>
      </c>
      <c r="F1062" s="23"/>
      <c r="G1062" s="23">
        <v>0.80286000000000002</v>
      </c>
      <c r="H1062" s="23">
        <v>1.10286</v>
      </c>
      <c r="I1062" s="23">
        <v>1.5348599999999999</v>
      </c>
    </row>
    <row r="1063" spans="1:9" s="21" customFormat="1" ht="20.100000000000001" customHeight="1" x14ac:dyDescent="0.2">
      <c r="A1063" s="22">
        <v>44631</v>
      </c>
      <c r="B1063" s="23" t="s">
        <v>52</v>
      </c>
      <c r="C1063" s="23">
        <v>7.9289999999999999E-2</v>
      </c>
      <c r="D1063" s="23"/>
      <c r="E1063" s="23">
        <v>0.39656999999999998</v>
      </c>
      <c r="F1063" s="23"/>
      <c r="G1063" s="23">
        <v>0.82599999999999996</v>
      </c>
      <c r="H1063" s="23">
        <v>1.1305700000000001</v>
      </c>
      <c r="I1063" s="23">
        <v>1.5960000000000001</v>
      </c>
    </row>
    <row r="1064" spans="1:9" s="21" customFormat="1" ht="20.100000000000001" customHeight="1" x14ac:dyDescent="0.2">
      <c r="A1064" s="22">
        <v>44634</v>
      </c>
      <c r="B1064" s="23" t="s">
        <v>53</v>
      </c>
      <c r="C1064" s="23">
        <v>7.9140000000000002E-2</v>
      </c>
      <c r="D1064" s="23"/>
      <c r="E1064" s="23">
        <v>0.43057000000000001</v>
      </c>
      <c r="F1064" s="23"/>
      <c r="G1064" s="23">
        <v>0.88471</v>
      </c>
      <c r="H1064" s="23">
        <v>1.175</v>
      </c>
      <c r="I1064" s="23">
        <v>1.65686</v>
      </c>
    </row>
    <row r="1065" spans="1:9" s="21" customFormat="1" ht="20.100000000000001" customHeight="1" x14ac:dyDescent="0.2">
      <c r="A1065" s="22">
        <v>44635</v>
      </c>
      <c r="B1065" s="23" t="s">
        <v>49</v>
      </c>
      <c r="C1065" s="23">
        <v>7.9570000000000002E-2</v>
      </c>
      <c r="D1065" s="23"/>
      <c r="E1065" s="23">
        <v>0.44142999999999999</v>
      </c>
      <c r="F1065" s="23"/>
      <c r="G1065" s="23">
        <v>0.91642999999999997</v>
      </c>
      <c r="H1065" s="23">
        <v>1.23786</v>
      </c>
      <c r="I1065" s="23">
        <v>1.6851400000000001</v>
      </c>
    </row>
    <row r="1066" spans="1:9" s="21" customFormat="1" ht="20.100000000000001" customHeight="1" x14ac:dyDescent="0.2">
      <c r="A1066" s="22">
        <v>44636</v>
      </c>
      <c r="B1066" s="23" t="s">
        <v>50</v>
      </c>
      <c r="C1066" s="23">
        <v>8.029E-2</v>
      </c>
      <c r="D1066" s="23"/>
      <c r="E1066" s="23">
        <v>0.46756999999999999</v>
      </c>
      <c r="F1066" s="23"/>
      <c r="G1066" s="23">
        <v>0.94813999999999998</v>
      </c>
      <c r="H1066" s="23">
        <v>1.25671</v>
      </c>
      <c r="I1066" s="23">
        <v>1.71529</v>
      </c>
    </row>
    <row r="1067" spans="1:9" s="21" customFormat="1" ht="20.100000000000001" customHeight="1" x14ac:dyDescent="0.2">
      <c r="A1067" s="22">
        <v>44637</v>
      </c>
      <c r="B1067" s="23" t="s">
        <v>51</v>
      </c>
      <c r="C1067" s="23">
        <v>0.32600000000000001</v>
      </c>
      <c r="D1067" s="23"/>
      <c r="E1067" s="23">
        <v>0.44857000000000002</v>
      </c>
      <c r="F1067" s="23"/>
      <c r="G1067" s="23">
        <v>0.92786000000000002</v>
      </c>
      <c r="H1067" s="23">
        <v>1.27443</v>
      </c>
      <c r="I1067" s="23">
        <v>1.7757099999999999</v>
      </c>
    </row>
    <row r="1068" spans="1:9" s="21" customFormat="1" ht="20.100000000000001" customHeight="1" x14ac:dyDescent="0.2">
      <c r="A1068" s="22">
        <v>44638</v>
      </c>
      <c r="B1068" s="23" t="s">
        <v>52</v>
      </c>
      <c r="C1068" s="23">
        <v>0.32871</v>
      </c>
      <c r="D1068" s="23"/>
      <c r="E1068" s="23">
        <v>0.44657000000000002</v>
      </c>
      <c r="F1068" s="23"/>
      <c r="G1068" s="23">
        <v>0.93400000000000005</v>
      </c>
      <c r="H1068" s="23">
        <v>1.2875700000000001</v>
      </c>
      <c r="I1068" s="23">
        <v>1.78643</v>
      </c>
    </row>
    <row r="1069" spans="1:9" s="21" customFormat="1" ht="20.100000000000001" customHeight="1" x14ac:dyDescent="0.2">
      <c r="A1069" s="22">
        <v>44641</v>
      </c>
      <c r="B1069" s="23" t="s">
        <v>53</v>
      </c>
      <c r="C1069" s="23">
        <v>0.33013999999999999</v>
      </c>
      <c r="D1069" s="23"/>
      <c r="E1069" s="23">
        <v>0.44400000000000001</v>
      </c>
      <c r="F1069" s="23"/>
      <c r="G1069" s="23">
        <v>0.95757000000000003</v>
      </c>
      <c r="H1069" s="23">
        <v>1.3361400000000001</v>
      </c>
      <c r="I1069" s="23">
        <v>1.8681399999999999</v>
      </c>
    </row>
    <row r="1070" spans="1:9" s="21" customFormat="1" ht="20.100000000000001" customHeight="1" x14ac:dyDescent="0.2">
      <c r="A1070" s="22">
        <v>44642</v>
      </c>
      <c r="B1070" s="23" t="s">
        <v>49</v>
      </c>
      <c r="C1070" s="23">
        <v>0.32743</v>
      </c>
      <c r="D1070" s="23"/>
      <c r="E1070" s="23">
        <v>0.45485999999999999</v>
      </c>
      <c r="F1070" s="23"/>
      <c r="G1070" s="23">
        <v>0.95370999999999995</v>
      </c>
      <c r="H1070" s="23">
        <v>1.3845700000000001</v>
      </c>
      <c r="I1070" s="23">
        <v>2.0125700000000002</v>
      </c>
    </row>
    <row r="1071" spans="1:9" s="21" customFormat="1" ht="20.100000000000001" customHeight="1" x14ac:dyDescent="0.2">
      <c r="A1071" s="22">
        <v>44643</v>
      </c>
      <c r="B1071" s="23" t="s">
        <v>50</v>
      </c>
      <c r="C1071" s="23">
        <v>0.32871</v>
      </c>
      <c r="D1071" s="23"/>
      <c r="E1071" s="23">
        <v>0.45656999999999998</v>
      </c>
      <c r="F1071" s="23"/>
      <c r="G1071" s="23">
        <v>0.96570999999999996</v>
      </c>
      <c r="H1071" s="23">
        <v>1.38971</v>
      </c>
      <c r="I1071" s="23">
        <v>2.0108600000000001</v>
      </c>
    </row>
    <row r="1072" spans="1:9" s="21" customFormat="1" ht="20.100000000000001" customHeight="1" x14ac:dyDescent="0.2">
      <c r="A1072" s="22">
        <v>44644</v>
      </c>
      <c r="B1072" s="23" t="s">
        <v>51</v>
      </c>
      <c r="C1072" s="23">
        <v>0.32785999999999998</v>
      </c>
      <c r="D1072" s="23"/>
      <c r="E1072" s="23">
        <v>0.44713999999999998</v>
      </c>
      <c r="F1072" s="23"/>
      <c r="G1072" s="23">
        <v>0.96557000000000004</v>
      </c>
      <c r="H1072" s="23">
        <v>1.4258599999999999</v>
      </c>
      <c r="I1072" s="23">
        <v>2.0578599999999998</v>
      </c>
    </row>
    <row r="1073" spans="1:9" s="21" customFormat="1" ht="20.100000000000001" customHeight="1" x14ac:dyDescent="0.2">
      <c r="A1073" s="22">
        <v>44645</v>
      </c>
      <c r="B1073" s="23" t="s">
        <v>52</v>
      </c>
      <c r="C1073" s="23">
        <v>0.32657000000000003</v>
      </c>
      <c r="D1073" s="23"/>
      <c r="E1073" s="23">
        <v>0.44513999999999998</v>
      </c>
      <c r="F1073" s="23"/>
      <c r="G1073" s="23">
        <v>0.98285999999999996</v>
      </c>
      <c r="H1073" s="23">
        <v>1.4511400000000001</v>
      </c>
      <c r="I1073" s="23">
        <v>2.0887099999999998</v>
      </c>
    </row>
    <row r="1074" spans="1:9" s="21" customFormat="1" ht="20.100000000000001" customHeight="1" x14ac:dyDescent="0.2">
      <c r="A1074" s="22">
        <v>44648</v>
      </c>
      <c r="B1074" s="23" t="s">
        <v>53</v>
      </c>
      <c r="C1074" s="23">
        <v>0.32785999999999998</v>
      </c>
      <c r="D1074" s="23"/>
      <c r="E1074" s="23">
        <v>0.44943</v>
      </c>
      <c r="F1074" s="23"/>
      <c r="G1074" s="23">
        <v>0.99629000000000001</v>
      </c>
      <c r="H1074" s="23">
        <v>1.49271</v>
      </c>
      <c r="I1074" s="23">
        <v>2.1988599999999998</v>
      </c>
    </row>
    <row r="1075" spans="1:9" s="21" customFormat="1" ht="20.100000000000001" customHeight="1" x14ac:dyDescent="0.2">
      <c r="A1075" s="22">
        <v>44649</v>
      </c>
      <c r="B1075" s="23" t="s">
        <v>49</v>
      </c>
      <c r="C1075" s="23">
        <v>0.32756999999999997</v>
      </c>
      <c r="D1075" s="23"/>
      <c r="E1075" s="23">
        <v>0.45743</v>
      </c>
      <c r="F1075" s="23"/>
      <c r="G1075" s="23">
        <v>1.006</v>
      </c>
      <c r="H1075" s="23">
        <v>1.4997100000000001</v>
      </c>
      <c r="I1075" s="23">
        <v>2.2029999999999998</v>
      </c>
    </row>
    <row r="1076" spans="1:9" s="21" customFormat="1" ht="20.100000000000001" customHeight="1" x14ac:dyDescent="0.2">
      <c r="A1076" s="22">
        <v>44650</v>
      </c>
      <c r="B1076" s="23" t="s">
        <v>50</v>
      </c>
      <c r="C1076" s="23">
        <v>0.32813999999999999</v>
      </c>
      <c r="D1076" s="23"/>
      <c r="E1076" s="23">
        <v>0.45513999999999999</v>
      </c>
      <c r="F1076" s="23"/>
      <c r="G1076" s="23">
        <v>0.96686000000000005</v>
      </c>
      <c r="H1076" s="23">
        <v>1.472</v>
      </c>
      <c r="I1076" s="23">
        <v>2.1258599999999999</v>
      </c>
    </row>
    <row r="1077" spans="1:9" s="21" customFormat="1" ht="20.100000000000001" customHeight="1" x14ac:dyDescent="0.2">
      <c r="A1077" s="22">
        <v>44651</v>
      </c>
      <c r="B1077" s="23" t="s">
        <v>51</v>
      </c>
      <c r="C1077" s="23">
        <v>0.33171</v>
      </c>
      <c r="D1077" s="23"/>
      <c r="E1077" s="23">
        <v>0.45200000000000001</v>
      </c>
      <c r="F1077" s="23"/>
      <c r="G1077" s="23">
        <v>0.96157000000000004</v>
      </c>
      <c r="H1077" s="23">
        <v>1.4698599999999999</v>
      </c>
      <c r="I1077" s="23">
        <v>2.1014300000000001</v>
      </c>
    </row>
    <row r="1078" spans="1:9" s="21" customFormat="1" ht="20.100000000000001" customHeight="1" x14ac:dyDescent="0.2">
      <c r="A1078" s="22">
        <v>44652</v>
      </c>
      <c r="B1078" s="23" t="s">
        <v>52</v>
      </c>
      <c r="C1078" s="23">
        <v>0.32729000000000003</v>
      </c>
      <c r="D1078" s="23"/>
      <c r="E1078" s="23">
        <v>0.43757000000000001</v>
      </c>
      <c r="F1078" s="23"/>
      <c r="G1078" s="23">
        <v>0.96199999999999997</v>
      </c>
      <c r="H1078" s="23">
        <v>1.4891399999999999</v>
      </c>
      <c r="I1078" s="23">
        <v>2.17157</v>
      </c>
    </row>
    <row r="1079" spans="1:9" s="21" customFormat="1" ht="20.100000000000001" customHeight="1" x14ac:dyDescent="0.2">
      <c r="A1079" s="22">
        <v>44655</v>
      </c>
      <c r="B1079" s="23" t="s">
        <v>53</v>
      </c>
      <c r="C1079" s="23">
        <v>0.32756999999999997</v>
      </c>
      <c r="D1079" s="23"/>
      <c r="E1079" s="23">
        <v>0.42857000000000001</v>
      </c>
      <c r="F1079" s="23"/>
      <c r="G1079" s="23">
        <v>0.96899999999999997</v>
      </c>
      <c r="H1079" s="23">
        <v>1.49271</v>
      </c>
      <c r="I1079" s="23">
        <v>2.2014300000000002</v>
      </c>
    </row>
    <row r="1080" spans="1:9" s="21" customFormat="1" ht="20.100000000000001" customHeight="1" x14ac:dyDescent="0.2">
      <c r="A1080" s="22">
        <v>44656</v>
      </c>
      <c r="B1080" s="23" t="s">
        <v>49</v>
      </c>
      <c r="C1080" s="23">
        <v>0.32613999999999999</v>
      </c>
      <c r="D1080" s="23"/>
      <c r="E1080" s="23">
        <v>0.44600000000000001</v>
      </c>
      <c r="F1080" s="23"/>
      <c r="G1080" s="23">
        <v>0.96657000000000004</v>
      </c>
      <c r="H1080" s="23">
        <v>1.4748600000000001</v>
      </c>
      <c r="I1080" s="23">
        <v>2.2278600000000002</v>
      </c>
    </row>
    <row r="1081" spans="1:9" s="21" customFormat="1" ht="20.100000000000001" customHeight="1" x14ac:dyDescent="0.2">
      <c r="A1081" s="22">
        <v>44657</v>
      </c>
      <c r="B1081" s="23" t="s">
        <v>50</v>
      </c>
      <c r="C1081" s="23">
        <v>0.32800000000000001</v>
      </c>
      <c r="D1081" s="23"/>
      <c r="E1081" s="23">
        <v>0.45143</v>
      </c>
      <c r="F1081" s="23"/>
      <c r="G1081" s="23">
        <v>0.98643000000000003</v>
      </c>
      <c r="H1081" s="23">
        <v>1.5017100000000001</v>
      </c>
      <c r="I1081" s="23">
        <v>2.24343</v>
      </c>
    </row>
    <row r="1082" spans="1:9" s="21" customFormat="1" ht="20.100000000000001" customHeight="1" x14ac:dyDescent="0.2">
      <c r="A1082" s="22">
        <v>44658</v>
      </c>
      <c r="B1082" s="23" t="s">
        <v>51</v>
      </c>
      <c r="C1082" s="23">
        <v>0.32113999999999998</v>
      </c>
      <c r="D1082" s="23"/>
      <c r="E1082" s="23">
        <v>0.48814000000000002</v>
      </c>
      <c r="F1082" s="23"/>
      <c r="G1082" s="23">
        <v>0.98885999999999996</v>
      </c>
      <c r="H1082" s="23">
        <v>1.50257</v>
      </c>
      <c r="I1082" s="23">
        <v>2.2148599999999998</v>
      </c>
    </row>
    <row r="1083" spans="1:9" s="21" customFormat="1" ht="20.100000000000001" customHeight="1" x14ac:dyDescent="0.2">
      <c r="A1083" s="22">
        <v>44659</v>
      </c>
      <c r="B1083" s="23" t="s">
        <v>52</v>
      </c>
      <c r="C1083" s="23">
        <v>0.32756999999999997</v>
      </c>
      <c r="D1083" s="23"/>
      <c r="E1083" s="23">
        <v>0.51400000000000001</v>
      </c>
      <c r="F1083" s="23"/>
      <c r="G1083" s="23">
        <v>1.01071</v>
      </c>
      <c r="H1083" s="23">
        <v>1.54043</v>
      </c>
      <c r="I1083" s="23">
        <v>2.2715700000000001</v>
      </c>
    </row>
    <row r="1084" spans="1:9" s="21" customFormat="1" ht="20.100000000000001" customHeight="1" x14ac:dyDescent="0.2">
      <c r="A1084" s="22">
        <v>44662</v>
      </c>
      <c r="B1084" s="23" t="s">
        <v>53</v>
      </c>
      <c r="C1084" s="23">
        <v>0.32585999999999998</v>
      </c>
      <c r="D1084" s="23"/>
      <c r="E1084" s="23">
        <v>0.52456999999999998</v>
      </c>
      <c r="F1084" s="23"/>
      <c r="G1084" s="23">
        <v>1.0214300000000001</v>
      </c>
      <c r="H1084" s="23">
        <v>1.5534300000000001</v>
      </c>
      <c r="I1084" s="23">
        <v>2.28043</v>
      </c>
    </row>
    <row r="1085" spans="1:9" s="21" customFormat="1" ht="20.100000000000001" customHeight="1" x14ac:dyDescent="0.2">
      <c r="A1085" s="22">
        <v>44663</v>
      </c>
      <c r="B1085" s="23" t="s">
        <v>49</v>
      </c>
      <c r="C1085" s="23">
        <v>0.32629000000000002</v>
      </c>
      <c r="D1085" s="23"/>
      <c r="E1085" s="23">
        <v>0.55128999999999995</v>
      </c>
      <c r="F1085" s="23"/>
      <c r="G1085" s="23">
        <v>1.03843</v>
      </c>
      <c r="H1085" s="23">
        <v>1.5641400000000001</v>
      </c>
      <c r="I1085" s="23">
        <v>2.3077100000000002</v>
      </c>
    </row>
    <row r="1086" spans="1:9" s="21" customFormat="1" ht="20.100000000000001" customHeight="1" x14ac:dyDescent="0.2">
      <c r="A1086" s="22">
        <v>44664</v>
      </c>
      <c r="B1086" s="23" t="s">
        <v>50</v>
      </c>
      <c r="C1086" s="23">
        <v>0.32729000000000003</v>
      </c>
      <c r="D1086" s="23"/>
      <c r="E1086" s="23">
        <v>0.55413999999999997</v>
      </c>
      <c r="F1086" s="23"/>
      <c r="G1086" s="23">
        <v>1.0442899999999999</v>
      </c>
      <c r="H1086" s="23">
        <v>1.5515699999999999</v>
      </c>
      <c r="I1086" s="23">
        <v>2.25143</v>
      </c>
    </row>
    <row r="1087" spans="1:9" s="21" customFormat="1" ht="20.100000000000001" customHeight="1" x14ac:dyDescent="0.2">
      <c r="A1087" s="22">
        <v>44665</v>
      </c>
      <c r="B1087" s="23" t="s">
        <v>51</v>
      </c>
      <c r="C1087" s="23">
        <v>0.32229000000000002</v>
      </c>
      <c r="D1087" s="23"/>
      <c r="E1087" s="23">
        <v>0.59443000000000001</v>
      </c>
      <c r="F1087" s="23"/>
      <c r="G1087" s="23">
        <v>1.06271</v>
      </c>
      <c r="H1087" s="23">
        <v>1.55671</v>
      </c>
      <c r="I1087" s="23">
        <v>2.2215699999999998</v>
      </c>
    </row>
    <row r="1088" spans="1:9" s="21" customFormat="1" ht="20.100000000000001" customHeight="1" x14ac:dyDescent="0.2">
      <c r="A1088" s="22">
        <v>44670</v>
      </c>
      <c r="B1088" s="23" t="s">
        <v>49</v>
      </c>
      <c r="C1088" s="23">
        <v>0.33100000000000002</v>
      </c>
      <c r="D1088" s="23"/>
      <c r="E1088" s="23">
        <v>0.62470999999999999</v>
      </c>
      <c r="F1088" s="23"/>
      <c r="G1088" s="23">
        <v>1.09829</v>
      </c>
      <c r="H1088" s="23">
        <v>1.60714</v>
      </c>
      <c r="I1088" s="23">
        <v>2.3025699999999998</v>
      </c>
    </row>
    <row r="1089" spans="1:9" s="21" customFormat="1" ht="20.100000000000001" customHeight="1" x14ac:dyDescent="0.2">
      <c r="A1089" s="22">
        <v>44671</v>
      </c>
      <c r="B1089" s="23" t="s">
        <v>50</v>
      </c>
      <c r="C1089" s="23">
        <v>0.32343</v>
      </c>
      <c r="D1089" s="23"/>
      <c r="E1089" s="23">
        <v>0.63156999999999996</v>
      </c>
      <c r="F1089" s="23"/>
      <c r="G1089" s="23">
        <v>1.13629</v>
      </c>
      <c r="H1089" s="23">
        <v>1.6745699999999999</v>
      </c>
      <c r="I1089" s="23">
        <v>2.3688600000000002</v>
      </c>
    </row>
    <row r="1090" spans="1:9" s="21" customFormat="1" ht="20.100000000000001" customHeight="1" x14ac:dyDescent="0.2">
      <c r="A1090" s="22">
        <v>44672</v>
      </c>
      <c r="B1090" s="23" t="s">
        <v>51</v>
      </c>
      <c r="C1090" s="23">
        <v>0.32643</v>
      </c>
      <c r="D1090" s="23"/>
      <c r="E1090" s="23">
        <v>0.66786000000000001</v>
      </c>
      <c r="F1090" s="23"/>
      <c r="G1090" s="23">
        <v>1.1839999999999999</v>
      </c>
      <c r="H1090" s="23">
        <v>1.72157</v>
      </c>
      <c r="I1090" s="23">
        <v>2.4404300000000001</v>
      </c>
    </row>
    <row r="1091" spans="1:9" s="21" customFormat="1" ht="20.100000000000001" customHeight="1" x14ac:dyDescent="0.2">
      <c r="A1091" s="22">
        <v>44673</v>
      </c>
      <c r="B1091" s="23" t="s">
        <v>52</v>
      </c>
      <c r="C1091" s="23">
        <v>0.32643</v>
      </c>
      <c r="D1091" s="23"/>
      <c r="E1091" s="23">
        <v>0.70343</v>
      </c>
      <c r="F1091" s="23"/>
      <c r="G1091" s="23">
        <v>1.2137100000000001</v>
      </c>
      <c r="H1091" s="23">
        <v>1.8237099999999999</v>
      </c>
      <c r="I1091" s="23">
        <v>2.6067100000000001</v>
      </c>
    </row>
    <row r="1092" spans="1:9" s="21" customFormat="1" ht="20.100000000000001" customHeight="1" x14ac:dyDescent="0.2">
      <c r="A1092" s="22">
        <v>44676</v>
      </c>
      <c r="B1092" s="23" t="s">
        <v>53</v>
      </c>
      <c r="C1092" s="23">
        <v>0.33043</v>
      </c>
      <c r="D1092" s="23"/>
      <c r="E1092" s="23">
        <v>0.69799999999999995</v>
      </c>
      <c r="F1092" s="23"/>
      <c r="G1092" s="23">
        <v>1.2248600000000001</v>
      </c>
      <c r="H1092" s="23">
        <v>1.81871</v>
      </c>
      <c r="I1092" s="23">
        <v>2.5517099999999999</v>
      </c>
    </row>
    <row r="1093" spans="1:9" s="21" customFormat="1" ht="20.100000000000001" customHeight="1" x14ac:dyDescent="0.2">
      <c r="A1093" s="22">
        <v>44677</v>
      </c>
      <c r="B1093" s="23" t="s">
        <v>49</v>
      </c>
      <c r="C1093" s="23">
        <v>0.33013999999999999</v>
      </c>
      <c r="D1093" s="23"/>
      <c r="E1093" s="23">
        <v>0.74870999999999999</v>
      </c>
      <c r="F1093" s="23"/>
      <c r="G1093" s="23">
        <v>1.23814</v>
      </c>
      <c r="H1093" s="23">
        <v>1.8277099999999999</v>
      </c>
      <c r="I1093" s="23">
        <v>2.5462899999999999</v>
      </c>
    </row>
    <row r="1094" spans="1:9" s="21" customFormat="1" ht="20.100000000000001" customHeight="1" x14ac:dyDescent="0.2">
      <c r="A1094" s="22">
        <v>44678</v>
      </c>
      <c r="B1094" s="23" t="s">
        <v>50</v>
      </c>
      <c r="C1094" s="23">
        <v>0.32485999999999998</v>
      </c>
      <c r="D1094" s="23"/>
      <c r="E1094" s="23">
        <v>0.76371</v>
      </c>
      <c r="F1094" s="23"/>
      <c r="G1094" s="23">
        <v>1.2388600000000001</v>
      </c>
      <c r="H1094" s="23">
        <v>1.82629</v>
      </c>
      <c r="I1094" s="23">
        <v>2.5441400000000001</v>
      </c>
    </row>
    <row r="1095" spans="1:9" s="21" customFormat="1" ht="20.100000000000001" customHeight="1" x14ac:dyDescent="0.2">
      <c r="A1095" s="22">
        <v>44679</v>
      </c>
      <c r="B1095" s="23" t="s">
        <v>51</v>
      </c>
      <c r="C1095" s="23">
        <v>0.32500000000000001</v>
      </c>
      <c r="D1095" s="23"/>
      <c r="E1095" s="23">
        <v>0.8</v>
      </c>
      <c r="F1095" s="23"/>
      <c r="G1095" s="23">
        <v>1.286</v>
      </c>
      <c r="H1095" s="23">
        <v>1.8481399999999999</v>
      </c>
      <c r="I1095" s="23">
        <v>2.54914</v>
      </c>
    </row>
    <row r="1096" spans="1:9" s="21" customFormat="1" ht="20.100000000000001" customHeight="1" x14ac:dyDescent="0.2">
      <c r="A1096" s="22">
        <v>44680</v>
      </c>
      <c r="B1096" s="23" t="s">
        <v>52</v>
      </c>
      <c r="C1096" s="23">
        <v>0.33</v>
      </c>
      <c r="D1096" s="23"/>
      <c r="E1096" s="23">
        <v>0.80328999999999995</v>
      </c>
      <c r="F1096" s="23"/>
      <c r="G1096" s="23">
        <v>1.3348599999999999</v>
      </c>
      <c r="H1096" s="23">
        <v>1.9107099999999999</v>
      </c>
      <c r="I1096" s="23">
        <v>2.6285699999999999</v>
      </c>
    </row>
    <row r="1097" spans="1:9" s="21" customFormat="1" ht="20.100000000000001" customHeight="1" x14ac:dyDescent="0.2">
      <c r="A1097" s="22">
        <v>44684</v>
      </c>
      <c r="B1097" s="23" t="s">
        <v>49</v>
      </c>
      <c r="C1097" s="23">
        <v>0.33028999999999997</v>
      </c>
      <c r="D1097" s="23"/>
      <c r="E1097" s="23">
        <v>0.83170999999999995</v>
      </c>
      <c r="F1097" s="23"/>
      <c r="G1097" s="23">
        <v>1.3632899999999999</v>
      </c>
      <c r="H1097" s="23">
        <v>1.9808600000000001</v>
      </c>
      <c r="I1097" s="23">
        <v>2.6948599999999998</v>
      </c>
    </row>
    <row r="1098" spans="1:9" s="21" customFormat="1" ht="20.100000000000001" customHeight="1" x14ac:dyDescent="0.2">
      <c r="A1098" s="22">
        <v>44685</v>
      </c>
      <c r="B1098" s="23" t="s">
        <v>50</v>
      </c>
      <c r="C1098" s="23">
        <v>0.33028999999999997</v>
      </c>
      <c r="D1098" s="23"/>
      <c r="E1098" s="23">
        <v>0.84514</v>
      </c>
      <c r="F1098" s="23"/>
      <c r="G1098" s="23">
        <v>1.4061399999999999</v>
      </c>
      <c r="H1098" s="23">
        <v>2.0195699999999999</v>
      </c>
      <c r="I1098" s="23">
        <v>2.7484299999999999</v>
      </c>
    </row>
    <row r="1099" spans="1:9" s="21" customFormat="1" ht="20.100000000000001" customHeight="1" x14ac:dyDescent="0.2">
      <c r="A1099" s="22">
        <v>44686</v>
      </c>
      <c r="B1099" s="23" t="s">
        <v>51</v>
      </c>
      <c r="C1099" s="23">
        <v>0.81513999999999998</v>
      </c>
      <c r="D1099" s="23"/>
      <c r="E1099" s="23">
        <v>0.84486000000000006</v>
      </c>
      <c r="F1099" s="23"/>
      <c r="G1099" s="23">
        <v>1.3707100000000001</v>
      </c>
      <c r="H1099" s="23">
        <v>1.97214</v>
      </c>
      <c r="I1099" s="23">
        <v>2.6721400000000002</v>
      </c>
    </row>
    <row r="1100" spans="1:9" s="21" customFormat="1" ht="20.100000000000001" customHeight="1" x14ac:dyDescent="0.2">
      <c r="A1100" s="22">
        <v>44687</v>
      </c>
      <c r="B1100" s="23" t="s">
        <v>52</v>
      </c>
      <c r="C1100" s="23">
        <v>0.81857000000000002</v>
      </c>
      <c r="D1100" s="23"/>
      <c r="E1100" s="23">
        <v>0.84214</v>
      </c>
      <c r="F1100" s="23"/>
      <c r="G1100" s="23">
        <v>1.4018600000000001</v>
      </c>
      <c r="H1100" s="23">
        <v>1.9645699999999999</v>
      </c>
      <c r="I1100" s="23">
        <v>2.6947100000000002</v>
      </c>
    </row>
    <row r="1101" spans="1:9" s="21" customFormat="1" ht="20.100000000000001" customHeight="1" x14ac:dyDescent="0.2">
      <c r="A1101" s="22">
        <v>44690</v>
      </c>
      <c r="B1101" s="23" t="s">
        <v>53</v>
      </c>
      <c r="C1101" s="23">
        <v>0.82499999999999996</v>
      </c>
      <c r="D1101" s="23"/>
      <c r="E1101" s="23">
        <v>0.84443000000000001</v>
      </c>
      <c r="F1101" s="23"/>
      <c r="G1101" s="23">
        <v>1.3985700000000001</v>
      </c>
      <c r="H1101" s="23">
        <v>1.98014</v>
      </c>
      <c r="I1101" s="23">
        <v>2.6748599999999998</v>
      </c>
    </row>
    <row r="1102" spans="1:9" s="21" customFormat="1" ht="20.100000000000001" customHeight="1" x14ac:dyDescent="0.2">
      <c r="A1102" s="22">
        <v>44691</v>
      </c>
      <c r="B1102" s="23" t="s">
        <v>49</v>
      </c>
      <c r="C1102" s="23">
        <v>0.82371000000000005</v>
      </c>
      <c r="D1102" s="23"/>
      <c r="E1102" s="23">
        <v>0.84314</v>
      </c>
      <c r="F1102" s="23"/>
      <c r="G1102" s="23">
        <v>1.3998600000000001</v>
      </c>
      <c r="H1102" s="23">
        <v>1.9319999999999999</v>
      </c>
      <c r="I1102" s="23">
        <v>2.5882900000000002</v>
      </c>
    </row>
    <row r="1103" spans="1:9" s="21" customFormat="1" ht="20.100000000000001" customHeight="1" x14ac:dyDescent="0.2">
      <c r="A1103" s="22">
        <v>44692</v>
      </c>
      <c r="B1103" s="23" t="s">
        <v>50</v>
      </c>
      <c r="C1103" s="23">
        <v>0.82599999999999996</v>
      </c>
      <c r="D1103" s="23"/>
      <c r="E1103" s="23">
        <v>0.85414000000000001</v>
      </c>
      <c r="F1103" s="23"/>
      <c r="G1103" s="23">
        <v>1.4218599999999999</v>
      </c>
      <c r="H1103" s="23">
        <v>1.96271</v>
      </c>
      <c r="I1103" s="23">
        <v>2.6167099999999999</v>
      </c>
    </row>
    <row r="1104" spans="1:9" s="21" customFormat="1" ht="20.100000000000001" customHeight="1" x14ac:dyDescent="0.2">
      <c r="A1104" s="22">
        <v>44693</v>
      </c>
      <c r="B1104" s="23" t="s">
        <v>51</v>
      </c>
      <c r="C1104" s="23">
        <v>0.82686000000000004</v>
      </c>
      <c r="D1104" s="23"/>
      <c r="E1104" s="23">
        <v>0.87470999999999999</v>
      </c>
      <c r="F1104" s="23"/>
      <c r="G1104" s="23">
        <v>1.4112899999999999</v>
      </c>
      <c r="H1104" s="23">
        <v>1.95886</v>
      </c>
      <c r="I1104" s="23">
        <v>2.6298599999999999</v>
      </c>
    </row>
    <row r="1105" spans="1:9" s="21" customFormat="1" ht="20.100000000000001" customHeight="1" x14ac:dyDescent="0.2">
      <c r="A1105" s="22">
        <v>44694</v>
      </c>
      <c r="B1105" s="23" t="s">
        <v>52</v>
      </c>
      <c r="C1105" s="23">
        <v>0.82571000000000006</v>
      </c>
      <c r="D1105" s="23"/>
      <c r="E1105" s="23">
        <v>0.88671</v>
      </c>
      <c r="F1105" s="23"/>
      <c r="G1105" s="23">
        <v>1.44371</v>
      </c>
      <c r="H1105" s="23">
        <v>1.9950000000000001</v>
      </c>
      <c r="I1105" s="23">
        <v>2.6521400000000002</v>
      </c>
    </row>
    <row r="1106" spans="1:9" s="21" customFormat="1" ht="20.100000000000001" customHeight="1" x14ac:dyDescent="0.2">
      <c r="A1106" s="22">
        <v>44697</v>
      </c>
      <c r="B1106" s="23" t="s">
        <v>53</v>
      </c>
      <c r="C1106" s="23">
        <v>0.82228999999999997</v>
      </c>
      <c r="D1106" s="23"/>
      <c r="E1106" s="23">
        <v>0.93557000000000001</v>
      </c>
      <c r="F1106" s="23"/>
      <c r="G1106" s="23">
        <v>1.4550000000000001</v>
      </c>
      <c r="H1106" s="23">
        <v>2.0169999999999999</v>
      </c>
      <c r="I1106" s="23">
        <v>2.65686</v>
      </c>
    </row>
    <row r="1107" spans="1:9" s="21" customFormat="1" ht="20.100000000000001" customHeight="1" x14ac:dyDescent="0.2">
      <c r="A1107" s="22">
        <v>44698</v>
      </c>
      <c r="B1107" s="23" t="s">
        <v>49</v>
      </c>
      <c r="C1107" s="23">
        <v>0.82013999999999998</v>
      </c>
      <c r="D1107" s="23"/>
      <c r="E1107" s="23">
        <v>0.92842999999999998</v>
      </c>
      <c r="F1107" s="23"/>
      <c r="G1107" s="23">
        <v>1.44757</v>
      </c>
      <c r="H1107" s="23">
        <v>2.0051399999999999</v>
      </c>
      <c r="I1107" s="23">
        <v>2.6777099999999998</v>
      </c>
    </row>
    <row r="1108" spans="1:9" s="21" customFormat="1" ht="20.100000000000001" customHeight="1" x14ac:dyDescent="0.2">
      <c r="A1108" s="22">
        <v>44699</v>
      </c>
      <c r="B1108" s="23" t="s">
        <v>50</v>
      </c>
      <c r="C1108" s="23">
        <v>0.82028999999999996</v>
      </c>
      <c r="D1108" s="23"/>
      <c r="E1108" s="23">
        <v>0.92728999999999995</v>
      </c>
      <c r="F1108" s="23"/>
      <c r="G1108" s="23">
        <v>1.478</v>
      </c>
      <c r="H1108" s="23">
        <v>2.0331399999999999</v>
      </c>
      <c r="I1108" s="23">
        <v>2.7410000000000001</v>
      </c>
    </row>
    <row r="1109" spans="1:9" s="21" customFormat="1" ht="20.100000000000001" customHeight="1" x14ac:dyDescent="0.2">
      <c r="A1109" s="22">
        <v>44700</v>
      </c>
      <c r="B1109" s="23" t="s">
        <v>51</v>
      </c>
      <c r="C1109" s="23">
        <v>0.82</v>
      </c>
      <c r="D1109" s="23"/>
      <c r="E1109" s="23">
        <v>0.96070999999999995</v>
      </c>
      <c r="F1109" s="23"/>
      <c r="G1109" s="23">
        <v>1.5048600000000001</v>
      </c>
      <c r="H1109" s="23">
        <v>2.0255700000000001</v>
      </c>
      <c r="I1109" s="23">
        <v>2.706</v>
      </c>
    </row>
    <row r="1110" spans="1:9" s="21" customFormat="1" ht="20.100000000000001" customHeight="1" x14ac:dyDescent="0.2">
      <c r="A1110" s="22">
        <v>44701</v>
      </c>
      <c r="B1110" s="23" t="s">
        <v>52</v>
      </c>
      <c r="C1110" s="23">
        <v>0.82471000000000005</v>
      </c>
      <c r="D1110" s="23"/>
      <c r="E1110" s="23">
        <v>0.97357000000000005</v>
      </c>
      <c r="F1110" s="23"/>
      <c r="G1110" s="23">
        <v>1.5064299999999999</v>
      </c>
      <c r="H1110" s="23">
        <v>2.0655700000000001</v>
      </c>
      <c r="I1110" s="23">
        <v>2.73</v>
      </c>
    </row>
    <row r="1111" spans="1:9" s="21" customFormat="1" ht="20.100000000000001" customHeight="1" x14ac:dyDescent="0.2">
      <c r="A1111" s="22">
        <v>44704</v>
      </c>
      <c r="B1111" s="23" t="s">
        <v>53</v>
      </c>
      <c r="C1111" s="23">
        <v>0.82313999999999998</v>
      </c>
      <c r="D1111" s="23"/>
      <c r="E1111" s="23">
        <v>1.0057100000000001</v>
      </c>
      <c r="F1111" s="23"/>
      <c r="G1111" s="23">
        <v>1.52386</v>
      </c>
      <c r="H1111" s="23">
        <v>2.0618599999999998</v>
      </c>
      <c r="I1111" s="23">
        <v>2.718</v>
      </c>
    </row>
    <row r="1112" spans="1:9" s="21" customFormat="1" ht="20.100000000000001" customHeight="1" x14ac:dyDescent="0.2">
      <c r="A1112" s="22">
        <v>44705</v>
      </c>
      <c r="B1112" s="23" t="s">
        <v>49</v>
      </c>
      <c r="C1112" s="23">
        <v>0.82386000000000004</v>
      </c>
      <c r="D1112" s="23"/>
      <c r="E1112" s="23">
        <v>1.01657</v>
      </c>
      <c r="F1112" s="23"/>
      <c r="G1112" s="23">
        <v>1.5309999999999999</v>
      </c>
      <c r="H1112" s="23">
        <v>2.0711400000000002</v>
      </c>
      <c r="I1112" s="23">
        <v>2.68886</v>
      </c>
    </row>
    <row r="1113" spans="1:9" s="21" customFormat="1" ht="20.100000000000001" customHeight="1" x14ac:dyDescent="0.2">
      <c r="A1113" s="22">
        <v>44706</v>
      </c>
      <c r="B1113" s="23" t="s">
        <v>50</v>
      </c>
      <c r="C1113" s="23">
        <v>0.81942999999999999</v>
      </c>
      <c r="D1113" s="23"/>
      <c r="E1113" s="23">
        <v>1.0229999999999999</v>
      </c>
      <c r="F1113" s="23"/>
      <c r="G1113" s="23">
        <v>1.5528599999999999</v>
      </c>
      <c r="H1113" s="23">
        <v>2.0542899999999999</v>
      </c>
      <c r="I1113" s="23">
        <v>2.6840000000000002</v>
      </c>
    </row>
    <row r="1114" spans="1:9" s="21" customFormat="1" ht="20.100000000000001" customHeight="1" x14ac:dyDescent="0.2">
      <c r="A1114" s="22">
        <v>44707</v>
      </c>
      <c r="B1114" s="23" t="s">
        <v>51</v>
      </c>
      <c r="C1114" s="23">
        <v>0.81728999999999996</v>
      </c>
      <c r="D1114" s="23"/>
      <c r="E1114" s="23">
        <v>1.0595699999999999</v>
      </c>
      <c r="F1114" s="23"/>
      <c r="G1114" s="23">
        <v>1.5748599999999999</v>
      </c>
      <c r="H1114" s="23">
        <v>2.0757099999999999</v>
      </c>
      <c r="I1114" s="23">
        <v>2.6815699999999998</v>
      </c>
    </row>
    <row r="1115" spans="1:9" s="21" customFormat="1" ht="20.100000000000001" customHeight="1" x14ac:dyDescent="0.2">
      <c r="A1115" s="22">
        <v>44708</v>
      </c>
      <c r="B1115" s="23" t="s">
        <v>52</v>
      </c>
      <c r="C1115" s="23">
        <v>0.82557000000000003</v>
      </c>
      <c r="D1115" s="23"/>
      <c r="E1115" s="23">
        <v>1.0617099999999999</v>
      </c>
      <c r="F1115" s="23"/>
      <c r="G1115" s="23">
        <v>1.5978600000000001</v>
      </c>
      <c r="H1115" s="23">
        <v>2.0861399999999999</v>
      </c>
      <c r="I1115" s="23">
        <v>2.6957100000000001</v>
      </c>
    </row>
    <row r="1116" spans="1:9" s="21" customFormat="1" ht="20.100000000000001" customHeight="1" x14ac:dyDescent="0.2">
      <c r="A1116" s="22">
        <v>44711</v>
      </c>
      <c r="B1116" s="23" t="s">
        <v>53</v>
      </c>
      <c r="C1116" s="23"/>
      <c r="D1116" s="23"/>
      <c r="E1116" s="23">
        <v>1.0615699999999999</v>
      </c>
      <c r="F1116" s="23"/>
      <c r="G1116" s="23">
        <v>1.58043</v>
      </c>
      <c r="H1116" s="23">
        <v>2.0688599999999999</v>
      </c>
      <c r="I1116" s="23">
        <v>2.6975699999999998</v>
      </c>
    </row>
    <row r="1117" spans="1:9" s="21" customFormat="1" ht="20.100000000000001" customHeight="1" x14ac:dyDescent="0.2">
      <c r="A1117" s="22">
        <v>44712</v>
      </c>
      <c r="B1117" s="23" t="s">
        <v>49</v>
      </c>
      <c r="C1117" s="23">
        <v>0.82199999999999995</v>
      </c>
      <c r="D1117" s="23"/>
      <c r="E1117" s="23">
        <v>1.1198600000000001</v>
      </c>
      <c r="F1117" s="23"/>
      <c r="G1117" s="23">
        <v>1.6107100000000001</v>
      </c>
      <c r="H1117" s="23">
        <v>2.1059999999999999</v>
      </c>
      <c r="I1117" s="23">
        <v>2.74</v>
      </c>
    </row>
    <row r="1118" spans="1:9" s="21" customFormat="1" ht="20.100000000000001" customHeight="1" x14ac:dyDescent="0.2">
      <c r="A1118" s="22">
        <v>44713</v>
      </c>
      <c r="B1118" s="23" t="s">
        <v>50</v>
      </c>
      <c r="C1118" s="23">
        <v>0.81913999999999998</v>
      </c>
      <c r="D1118" s="23"/>
      <c r="E1118" s="23">
        <v>1.11971</v>
      </c>
      <c r="F1118" s="23"/>
      <c r="G1118" s="23">
        <v>1.6259999999999999</v>
      </c>
      <c r="H1118" s="23">
        <v>2.1092900000000001</v>
      </c>
      <c r="I1118" s="23">
        <v>2.7754300000000001</v>
      </c>
    </row>
    <row r="1119" spans="1:9" s="21" customFormat="1" ht="20.100000000000001" customHeight="1" x14ac:dyDescent="0.2">
      <c r="A1119" s="22">
        <v>44718</v>
      </c>
      <c r="B1119" s="23" t="s">
        <v>53</v>
      </c>
      <c r="C1119" s="23">
        <v>0.82142999999999999</v>
      </c>
      <c r="D1119" s="23"/>
      <c r="E1119" s="23">
        <v>1.15971</v>
      </c>
      <c r="F1119" s="23"/>
      <c r="G1119" s="23">
        <v>1.665</v>
      </c>
      <c r="H1119" s="23">
        <v>2.1880000000000002</v>
      </c>
      <c r="I1119" s="23">
        <v>2.85229</v>
      </c>
    </row>
    <row r="1120" spans="1:9" s="21" customFormat="1" ht="20.100000000000001" customHeight="1" x14ac:dyDescent="0.2">
      <c r="A1120" s="22">
        <v>44719</v>
      </c>
      <c r="B1120" s="23" t="s">
        <v>49</v>
      </c>
      <c r="C1120" s="23">
        <v>0.82657000000000003</v>
      </c>
      <c r="D1120" s="23"/>
      <c r="E1120" s="23">
        <v>1.1902900000000001</v>
      </c>
      <c r="F1120" s="23"/>
      <c r="G1120" s="23">
        <v>1.6904300000000001</v>
      </c>
      <c r="H1120" s="23">
        <v>2.2384300000000001</v>
      </c>
      <c r="I1120" s="23">
        <v>2.88957</v>
      </c>
    </row>
    <row r="1121" spans="1:9" s="21" customFormat="1" ht="20.100000000000001" customHeight="1" x14ac:dyDescent="0.2">
      <c r="A1121" s="22">
        <v>44720</v>
      </c>
      <c r="B1121" s="23" t="s">
        <v>50</v>
      </c>
      <c r="C1121" s="23">
        <v>0.81957000000000002</v>
      </c>
      <c r="D1121" s="23"/>
      <c r="E1121" s="23">
        <v>1.1997100000000001</v>
      </c>
      <c r="F1121" s="23"/>
      <c r="G1121" s="23">
        <v>1.68771</v>
      </c>
      <c r="H1121" s="23">
        <v>2.2664300000000002</v>
      </c>
      <c r="I1121" s="23">
        <v>2.91214</v>
      </c>
    </row>
    <row r="1122" spans="1:9" s="21" customFormat="1" ht="20.100000000000001" customHeight="1" x14ac:dyDescent="0.2">
      <c r="A1122" s="22">
        <v>44721</v>
      </c>
      <c r="B1122" s="23" t="s">
        <v>51</v>
      </c>
      <c r="C1122" s="23">
        <v>0.82</v>
      </c>
      <c r="D1122" s="23"/>
      <c r="E1122" s="23">
        <v>1.25471</v>
      </c>
      <c r="F1122" s="23"/>
      <c r="G1122" s="23">
        <v>1.72129</v>
      </c>
      <c r="H1122" s="23">
        <v>2.2942900000000002</v>
      </c>
      <c r="I1122" s="23">
        <v>2.9585699999999999</v>
      </c>
    </row>
    <row r="1123" spans="1:9" s="21" customFormat="1" ht="20.100000000000001" customHeight="1" x14ac:dyDescent="0.2">
      <c r="A1123" s="22">
        <v>44722</v>
      </c>
      <c r="B1123" s="23" t="s">
        <v>52</v>
      </c>
      <c r="C1123" s="23">
        <v>0.81928999999999996</v>
      </c>
      <c r="D1123" s="23"/>
      <c r="E1123" s="23">
        <v>1.2821400000000001</v>
      </c>
      <c r="F1123" s="23"/>
      <c r="G1123" s="23">
        <v>1.74471</v>
      </c>
      <c r="H1123" s="23">
        <v>2.3115700000000001</v>
      </c>
      <c r="I1123" s="23">
        <v>3.00543</v>
      </c>
    </row>
    <row r="1124" spans="1:9" s="21" customFormat="1" ht="20.100000000000001" customHeight="1" x14ac:dyDescent="0.2">
      <c r="A1124" s="22">
        <v>44725</v>
      </c>
      <c r="B1124" s="23" t="s">
        <v>53</v>
      </c>
      <c r="C1124" s="23">
        <v>0.82028999999999996</v>
      </c>
      <c r="D1124" s="23"/>
      <c r="E1124" s="23">
        <v>1.3240000000000001</v>
      </c>
      <c r="F1124" s="23"/>
      <c r="G1124" s="23">
        <v>1.8288599999999999</v>
      </c>
      <c r="H1124" s="23">
        <v>2.5101399999999998</v>
      </c>
      <c r="I1124" s="23">
        <v>3.3698600000000001</v>
      </c>
    </row>
    <row r="1125" spans="1:9" s="21" customFormat="1" ht="20.100000000000001" customHeight="1" x14ac:dyDescent="0.2">
      <c r="A1125" s="22">
        <v>44726</v>
      </c>
      <c r="B1125" s="23" t="s">
        <v>49</v>
      </c>
      <c r="C1125" s="23">
        <v>0.81586000000000003</v>
      </c>
      <c r="D1125" s="23"/>
      <c r="E1125" s="23">
        <v>1.50929</v>
      </c>
      <c r="F1125" s="23"/>
      <c r="G1125" s="23">
        <v>2.0032899999999998</v>
      </c>
      <c r="H1125" s="23">
        <v>2.6680000000000001</v>
      </c>
      <c r="I1125" s="23">
        <v>3.5812900000000001</v>
      </c>
    </row>
    <row r="1126" spans="1:9" s="21" customFormat="1" ht="20.100000000000001" customHeight="1" x14ac:dyDescent="0.2">
      <c r="A1126" s="22">
        <v>44727</v>
      </c>
      <c r="B1126" s="23" t="s">
        <v>50</v>
      </c>
      <c r="C1126" s="23">
        <v>0.82486000000000004</v>
      </c>
      <c r="D1126" s="23"/>
      <c r="E1126" s="23">
        <v>1.5234300000000001</v>
      </c>
      <c r="F1126" s="23"/>
      <c r="G1126" s="23">
        <v>2.0295700000000001</v>
      </c>
      <c r="H1126" s="23">
        <v>2.7482899999999999</v>
      </c>
      <c r="I1126" s="23">
        <v>3.6125699999999998</v>
      </c>
    </row>
    <row r="1127" spans="1:9" s="21" customFormat="1" ht="20.100000000000001" customHeight="1" x14ac:dyDescent="0.2">
      <c r="A1127" s="22">
        <v>44728</v>
      </c>
      <c r="B1127" s="23" t="s">
        <v>51</v>
      </c>
      <c r="C1127" s="23">
        <v>1.5648599999999999</v>
      </c>
      <c r="D1127" s="23"/>
      <c r="E1127" s="23">
        <v>1.59514</v>
      </c>
      <c r="F1127" s="23"/>
      <c r="G1127" s="23">
        <v>2.0634299999999999</v>
      </c>
      <c r="H1127" s="23">
        <v>2.7475700000000001</v>
      </c>
      <c r="I1127" s="23">
        <v>3.6739999999999999</v>
      </c>
    </row>
    <row r="1128" spans="1:9" s="21" customFormat="1" ht="20.100000000000001" customHeight="1" x14ac:dyDescent="0.2">
      <c r="A1128" s="22">
        <v>44729</v>
      </c>
      <c r="B1128" s="23" t="s">
        <v>52</v>
      </c>
      <c r="C1128" s="23">
        <v>1.5674300000000001</v>
      </c>
      <c r="D1128" s="23"/>
      <c r="E1128" s="23">
        <v>1.61229</v>
      </c>
      <c r="F1128" s="23"/>
      <c r="G1128" s="23">
        <v>2.0958600000000001</v>
      </c>
      <c r="H1128" s="23">
        <v>2.78043</v>
      </c>
      <c r="I1128" s="23">
        <v>3.5858599999999998</v>
      </c>
    </row>
    <row r="1129" spans="1:9" s="21" customFormat="1" ht="20.100000000000001" customHeight="1" x14ac:dyDescent="0.2">
      <c r="A1129" s="22">
        <v>44732</v>
      </c>
      <c r="B1129" s="23" t="s">
        <v>53</v>
      </c>
      <c r="C1129" s="23"/>
      <c r="D1129" s="23"/>
      <c r="E1129" s="23">
        <v>1.62629</v>
      </c>
      <c r="F1129" s="23"/>
      <c r="G1129" s="23">
        <v>2.1234299999999999</v>
      </c>
      <c r="H1129" s="23">
        <v>2.8128600000000001</v>
      </c>
      <c r="I1129" s="23">
        <v>3.6205699999999998</v>
      </c>
    </row>
    <row r="1130" spans="1:9" s="21" customFormat="1" ht="20.100000000000001" customHeight="1" x14ac:dyDescent="0.2">
      <c r="A1130" s="22">
        <v>44733</v>
      </c>
      <c r="B1130" s="23" t="s">
        <v>49</v>
      </c>
      <c r="C1130" s="23">
        <v>1.575</v>
      </c>
      <c r="D1130" s="23"/>
      <c r="E1130" s="23">
        <v>1.64157</v>
      </c>
      <c r="F1130" s="23"/>
      <c r="G1130" s="23">
        <v>2.1544300000000001</v>
      </c>
      <c r="H1130" s="23">
        <v>2.8418600000000001</v>
      </c>
      <c r="I1130" s="23">
        <v>3.6254300000000002</v>
      </c>
    </row>
    <row r="1131" spans="1:9" s="21" customFormat="1" ht="20.100000000000001" customHeight="1" x14ac:dyDescent="0.2">
      <c r="A1131" s="22">
        <v>44734</v>
      </c>
      <c r="B1131" s="23" t="s">
        <v>50</v>
      </c>
      <c r="C1131" s="23">
        <v>1.5712900000000001</v>
      </c>
      <c r="D1131" s="23"/>
      <c r="E1131" s="23">
        <v>1.6327100000000001</v>
      </c>
      <c r="F1131" s="23"/>
      <c r="G1131" s="23">
        <v>2.1845699999999999</v>
      </c>
      <c r="H1131" s="23">
        <v>2.8265699999999998</v>
      </c>
      <c r="I1131" s="23">
        <v>3.57986</v>
      </c>
    </row>
    <row r="1132" spans="1:9" s="21" customFormat="1" ht="20.100000000000001" customHeight="1" x14ac:dyDescent="0.2">
      <c r="A1132" s="22">
        <v>44735</v>
      </c>
      <c r="B1132" s="23" t="s">
        <v>51</v>
      </c>
      <c r="C1132" s="23">
        <v>1.571</v>
      </c>
      <c r="D1132" s="23"/>
      <c r="E1132" s="23">
        <v>1.62357</v>
      </c>
      <c r="F1132" s="23"/>
      <c r="G1132" s="23">
        <v>2.1972900000000002</v>
      </c>
      <c r="H1132" s="23">
        <v>2.8352900000000001</v>
      </c>
      <c r="I1132" s="23">
        <v>3.53329</v>
      </c>
    </row>
    <row r="1133" spans="1:9" s="21" customFormat="1" ht="20.100000000000001" customHeight="1" x14ac:dyDescent="0.2">
      <c r="A1133" s="22">
        <v>44736</v>
      </c>
      <c r="B1133" s="23" t="s">
        <v>52</v>
      </c>
      <c r="C1133" s="23">
        <v>1.5761400000000001</v>
      </c>
      <c r="D1133" s="23"/>
      <c r="E1133" s="23">
        <v>1.6327100000000001</v>
      </c>
      <c r="F1133" s="23"/>
      <c r="G1133" s="23">
        <v>2.2344300000000001</v>
      </c>
      <c r="H1133" s="23">
        <v>2.8665699999999998</v>
      </c>
      <c r="I1133" s="23">
        <v>3.5447099999999998</v>
      </c>
    </row>
    <row r="1134" spans="1:9" s="21" customFormat="1" ht="20.100000000000001" customHeight="1" x14ac:dyDescent="0.2">
      <c r="A1134" s="22">
        <v>44739</v>
      </c>
      <c r="B1134" s="23" t="s">
        <v>53</v>
      </c>
      <c r="C1134" s="23">
        <v>1.571</v>
      </c>
      <c r="D1134" s="23"/>
      <c r="E1134" s="23">
        <v>1.65229</v>
      </c>
      <c r="F1134" s="23"/>
      <c r="G1134" s="23">
        <v>2.2315700000000001</v>
      </c>
      <c r="H1134" s="23">
        <v>2.8621400000000001</v>
      </c>
      <c r="I1134" s="23">
        <v>3.5720000000000001</v>
      </c>
    </row>
    <row r="1135" spans="1:9" s="21" customFormat="1" ht="20.100000000000001" customHeight="1" x14ac:dyDescent="0.2">
      <c r="A1135" s="22">
        <v>44740</v>
      </c>
      <c r="B1135" s="23" t="s">
        <v>49</v>
      </c>
      <c r="C1135" s="23">
        <v>1.5708599999999999</v>
      </c>
      <c r="D1135" s="23"/>
      <c r="E1135" s="23">
        <v>1.66614</v>
      </c>
      <c r="F1135" s="23"/>
      <c r="G1135" s="23">
        <v>2.2504300000000002</v>
      </c>
      <c r="H1135" s="23">
        <v>2.8768600000000002</v>
      </c>
      <c r="I1135" s="23">
        <v>3.6072899999999999</v>
      </c>
    </row>
    <row r="1136" spans="1:9" s="21" customFormat="1" ht="20.100000000000001" customHeight="1" x14ac:dyDescent="0.2">
      <c r="A1136" s="22">
        <v>44741</v>
      </c>
      <c r="B1136" s="23" t="s">
        <v>50</v>
      </c>
      <c r="C1136" s="23">
        <v>1.57029</v>
      </c>
      <c r="D1136" s="23"/>
      <c r="E1136" s="23">
        <v>1.7131400000000001</v>
      </c>
      <c r="F1136" s="23"/>
      <c r="G1136" s="23">
        <v>2.2771400000000002</v>
      </c>
      <c r="H1136" s="23">
        <v>2.9467099999999999</v>
      </c>
      <c r="I1136" s="23">
        <v>3.6135700000000002</v>
      </c>
    </row>
    <row r="1137" spans="1:9" s="21" customFormat="1" ht="20.100000000000001" customHeight="1" x14ac:dyDescent="0.2">
      <c r="A1137" s="22">
        <v>44742</v>
      </c>
      <c r="B1137" s="23" t="s">
        <v>51</v>
      </c>
      <c r="C1137" s="23">
        <v>1.579</v>
      </c>
      <c r="D1137" s="23"/>
      <c r="E1137" s="23">
        <v>1.78671</v>
      </c>
      <c r="F1137" s="23"/>
      <c r="G1137" s="23">
        <v>2.2851400000000002</v>
      </c>
      <c r="H1137" s="23">
        <v>2.9351400000000001</v>
      </c>
      <c r="I1137" s="23">
        <v>3.6190000000000002</v>
      </c>
    </row>
    <row r="1138" spans="1:9" s="21" customFormat="1" ht="20.100000000000001" customHeight="1" x14ac:dyDescent="0.2">
      <c r="A1138" s="22">
        <v>44743</v>
      </c>
      <c r="B1138" s="23" t="s">
        <v>52</v>
      </c>
      <c r="C1138" s="23">
        <v>1.5672900000000001</v>
      </c>
      <c r="D1138" s="23"/>
      <c r="E1138" s="23">
        <v>1.7975699999999999</v>
      </c>
      <c r="F1138" s="23"/>
      <c r="G1138" s="23">
        <v>2.2928600000000001</v>
      </c>
      <c r="H1138" s="23">
        <v>2.8992900000000001</v>
      </c>
      <c r="I1138" s="23">
        <v>3.5642900000000002</v>
      </c>
    </row>
    <row r="1139" spans="1:9" s="21" customFormat="1" ht="20.100000000000001" customHeight="1" x14ac:dyDescent="0.2">
      <c r="A1139" s="22">
        <v>44746</v>
      </c>
      <c r="B1139" s="23" t="s">
        <v>53</v>
      </c>
      <c r="C1139" s="23"/>
      <c r="D1139" s="23"/>
      <c r="E1139" s="23">
        <v>1.77729</v>
      </c>
      <c r="F1139" s="23"/>
      <c r="G1139" s="23">
        <v>2.3217099999999999</v>
      </c>
      <c r="H1139" s="23">
        <v>2.9432900000000002</v>
      </c>
      <c r="I1139" s="23">
        <v>3.5512899999999998</v>
      </c>
    </row>
    <row r="1140" spans="1:9" s="21" customFormat="1" ht="20.100000000000001" customHeight="1" x14ac:dyDescent="0.2">
      <c r="A1140" s="22">
        <v>44747</v>
      </c>
      <c r="B1140" s="23" t="s">
        <v>49</v>
      </c>
      <c r="C1140" s="23">
        <v>1.5634300000000001</v>
      </c>
      <c r="D1140" s="23"/>
      <c r="E1140" s="23">
        <v>1.7909999999999999</v>
      </c>
      <c r="F1140" s="23"/>
      <c r="G1140" s="23">
        <v>2.34829</v>
      </c>
      <c r="H1140" s="23">
        <v>2.9665699999999999</v>
      </c>
      <c r="I1140" s="23">
        <v>3.5922900000000002</v>
      </c>
    </row>
    <row r="1141" spans="1:9" s="21" customFormat="1" ht="20.100000000000001" customHeight="1" x14ac:dyDescent="0.2">
      <c r="A1141" s="22">
        <v>44748</v>
      </c>
      <c r="B1141" s="23" t="s">
        <v>50</v>
      </c>
      <c r="C1141" s="23">
        <v>1.56243</v>
      </c>
      <c r="D1141" s="23"/>
      <c r="E1141" s="23">
        <v>1.8068599999999999</v>
      </c>
      <c r="F1141" s="23"/>
      <c r="G1141" s="23">
        <v>2.3905699999999999</v>
      </c>
      <c r="H1141" s="23">
        <v>2.9988600000000001</v>
      </c>
      <c r="I1141" s="23">
        <v>3.5539999999999998</v>
      </c>
    </row>
    <row r="1142" spans="1:9" s="21" customFormat="1" ht="20.100000000000001" customHeight="1" x14ac:dyDescent="0.2">
      <c r="A1142" s="22">
        <v>44749</v>
      </c>
      <c r="B1142" s="23" t="s">
        <v>51</v>
      </c>
      <c r="C1142" s="23">
        <v>1.5677099999999999</v>
      </c>
      <c r="D1142" s="23"/>
      <c r="E1142" s="23">
        <v>1.8721399999999999</v>
      </c>
      <c r="F1142" s="23"/>
      <c r="G1142" s="23">
        <v>2.4275699999999998</v>
      </c>
      <c r="H1142" s="23">
        <v>3.0561400000000001</v>
      </c>
      <c r="I1142" s="23">
        <v>3.6574300000000002</v>
      </c>
    </row>
    <row r="1143" spans="1:9" s="21" customFormat="1" ht="20.100000000000001" customHeight="1" x14ac:dyDescent="0.2">
      <c r="A1143" s="22">
        <v>44750</v>
      </c>
      <c r="B1143" s="23" t="s">
        <v>52</v>
      </c>
      <c r="C1143" s="23">
        <v>1.56057</v>
      </c>
      <c r="D1143" s="23"/>
      <c r="E1143" s="23">
        <v>1.89971</v>
      </c>
      <c r="F1143" s="23"/>
      <c r="G1143" s="23">
        <v>2.423</v>
      </c>
      <c r="H1143" s="23">
        <v>3.0484300000000002</v>
      </c>
      <c r="I1143" s="23">
        <v>3.64486</v>
      </c>
    </row>
    <row r="1144" spans="1:9" s="21" customFormat="1" ht="20.100000000000001" customHeight="1" x14ac:dyDescent="0.2">
      <c r="A1144" s="22">
        <v>44753</v>
      </c>
      <c r="B1144" s="23" t="s">
        <v>53</v>
      </c>
      <c r="C1144" s="23">
        <v>1.56386</v>
      </c>
      <c r="D1144" s="23"/>
      <c r="E1144" s="23">
        <v>1.9644299999999999</v>
      </c>
      <c r="F1144" s="23"/>
      <c r="G1144" s="23">
        <v>2.4551400000000001</v>
      </c>
      <c r="H1144" s="23">
        <v>3.07043</v>
      </c>
      <c r="I1144" s="23">
        <v>3.722</v>
      </c>
    </row>
    <row r="1145" spans="1:9" s="21" customFormat="1" ht="20.100000000000001" customHeight="1" x14ac:dyDescent="0.2">
      <c r="A1145" s="22">
        <v>44754</v>
      </c>
      <c r="B1145" s="23" t="s">
        <v>49</v>
      </c>
      <c r="C1145" s="23">
        <v>1.56829</v>
      </c>
      <c r="D1145" s="23"/>
      <c r="E1145" s="23">
        <v>1.97143</v>
      </c>
      <c r="F1145" s="23"/>
      <c r="G1145" s="23">
        <v>2.4830000000000001</v>
      </c>
      <c r="H1145" s="23">
        <v>3.0644300000000002</v>
      </c>
      <c r="I1145" s="23">
        <v>3.6867100000000002</v>
      </c>
    </row>
    <row r="1146" spans="1:9" s="21" customFormat="1" ht="20.100000000000001" customHeight="1" x14ac:dyDescent="0.2">
      <c r="A1146" s="22">
        <v>44755</v>
      </c>
      <c r="B1146" s="23" t="s">
        <v>50</v>
      </c>
      <c r="C1146" s="23">
        <v>1.5612900000000001</v>
      </c>
      <c r="D1146" s="23"/>
      <c r="E1146" s="23">
        <v>1.9991399999999999</v>
      </c>
      <c r="F1146" s="23"/>
      <c r="G1146" s="23">
        <v>2.512</v>
      </c>
      <c r="H1146" s="23">
        <v>3.0609999999999999</v>
      </c>
      <c r="I1146" s="23">
        <v>3.73414</v>
      </c>
    </row>
    <row r="1147" spans="1:9" s="21" customFormat="1" ht="20.100000000000001" customHeight="1" x14ac:dyDescent="0.2">
      <c r="A1147" s="22">
        <v>44756</v>
      </c>
      <c r="B1147" s="23" t="s">
        <v>51</v>
      </c>
      <c r="C1147" s="23">
        <v>1.5581400000000001</v>
      </c>
      <c r="D1147" s="23"/>
      <c r="E1147" s="23">
        <v>2.1560000000000001</v>
      </c>
      <c r="F1147" s="23"/>
      <c r="G1147" s="23">
        <v>2.7402899999999999</v>
      </c>
      <c r="H1147" s="23">
        <v>3.3812899999999999</v>
      </c>
      <c r="I1147" s="23">
        <v>3.9782899999999999</v>
      </c>
    </row>
    <row r="1148" spans="1:9" s="21" customFormat="1" ht="20.100000000000001" customHeight="1" x14ac:dyDescent="0.2">
      <c r="A1148" s="22">
        <v>44757</v>
      </c>
      <c r="B1148" s="23" t="s">
        <v>52</v>
      </c>
      <c r="C1148" s="23">
        <v>1.56514</v>
      </c>
      <c r="D1148" s="23"/>
      <c r="E1148" s="23">
        <v>2.1202899999999998</v>
      </c>
      <c r="F1148" s="23"/>
      <c r="G1148" s="23">
        <v>2.7375699999999998</v>
      </c>
      <c r="H1148" s="23">
        <v>3.3112900000000001</v>
      </c>
      <c r="I1148" s="23">
        <v>3.8964300000000001</v>
      </c>
    </row>
    <row r="1149" spans="1:9" s="21" customFormat="1" ht="20.100000000000001" customHeight="1" x14ac:dyDescent="0.2">
      <c r="A1149" s="22">
        <v>44760</v>
      </c>
      <c r="B1149" s="23" t="s">
        <v>53</v>
      </c>
      <c r="C1149" s="23">
        <v>1.5701400000000001</v>
      </c>
      <c r="D1149" s="23"/>
      <c r="E1149" s="23">
        <v>2.12643</v>
      </c>
      <c r="F1149" s="23"/>
      <c r="G1149" s="23">
        <v>2.7098599999999999</v>
      </c>
      <c r="H1149" s="23">
        <v>3.2674300000000001</v>
      </c>
      <c r="I1149" s="23">
        <v>3.863</v>
      </c>
    </row>
    <row r="1150" spans="1:9" s="21" customFormat="1" ht="20.100000000000001" customHeight="1" x14ac:dyDescent="0.2">
      <c r="A1150" s="22">
        <v>44761</v>
      </c>
      <c r="B1150" s="23" t="s">
        <v>49</v>
      </c>
      <c r="C1150" s="23">
        <v>1.5621400000000001</v>
      </c>
      <c r="D1150" s="23"/>
      <c r="E1150" s="23">
        <v>2.1615700000000002</v>
      </c>
      <c r="F1150" s="23"/>
      <c r="G1150" s="23">
        <v>2.7317100000000001</v>
      </c>
      <c r="H1150" s="23">
        <v>3.2988599999999999</v>
      </c>
      <c r="I1150" s="23">
        <v>3.86957</v>
      </c>
    </row>
    <row r="1151" spans="1:9" s="21" customFormat="1" ht="20.100000000000001" customHeight="1" x14ac:dyDescent="0.2">
      <c r="A1151" s="22">
        <v>44762</v>
      </c>
      <c r="B1151" s="23" t="s">
        <v>50</v>
      </c>
      <c r="C1151" s="23">
        <v>1.56914</v>
      </c>
      <c r="D1151" s="23"/>
      <c r="E1151" s="23">
        <v>2.2135699999999998</v>
      </c>
      <c r="F1151" s="23"/>
      <c r="G1151" s="23">
        <v>2.7589999999999999</v>
      </c>
      <c r="H1151" s="23">
        <v>3.33386</v>
      </c>
      <c r="I1151" s="23">
        <v>3.8929999999999998</v>
      </c>
    </row>
    <row r="1152" spans="1:9" s="21" customFormat="1" ht="20.100000000000001" customHeight="1" x14ac:dyDescent="0.2">
      <c r="A1152" s="22">
        <v>44763</v>
      </c>
      <c r="B1152" s="23" t="s">
        <v>51</v>
      </c>
      <c r="C1152" s="23">
        <v>1.5657099999999999</v>
      </c>
      <c r="D1152" s="23"/>
      <c r="E1152" s="23">
        <v>2.2589999999999999</v>
      </c>
      <c r="F1152" s="23"/>
      <c r="G1152" s="23">
        <v>2.7829999999999999</v>
      </c>
      <c r="H1152" s="23">
        <v>3.3774299999999999</v>
      </c>
      <c r="I1152" s="23">
        <v>3.9187099999999999</v>
      </c>
    </row>
    <row r="1153" spans="1:9" s="21" customFormat="1" ht="20.100000000000001" customHeight="1" x14ac:dyDescent="0.2">
      <c r="A1153" s="22">
        <v>44764</v>
      </c>
      <c r="B1153" s="23" t="s">
        <v>52</v>
      </c>
      <c r="C1153" s="23">
        <v>1.56457</v>
      </c>
      <c r="D1153" s="23"/>
      <c r="E1153" s="23">
        <v>2.2522899999999999</v>
      </c>
      <c r="F1153" s="23"/>
      <c r="G1153" s="23">
        <v>2.7662900000000001</v>
      </c>
      <c r="H1153" s="23">
        <v>3.3228599999999999</v>
      </c>
      <c r="I1153" s="23">
        <v>3.8142900000000002</v>
      </c>
    </row>
    <row r="1154" spans="1:9" s="21" customFormat="1" ht="20.100000000000001" customHeight="1" x14ac:dyDescent="0.2">
      <c r="A1154" s="22">
        <v>44767</v>
      </c>
      <c r="B1154" s="23" t="s">
        <v>53</v>
      </c>
      <c r="C1154" s="23">
        <v>1.56586</v>
      </c>
      <c r="D1154" s="23"/>
      <c r="E1154" s="23">
        <v>2.2997100000000001</v>
      </c>
      <c r="F1154" s="23"/>
      <c r="G1154" s="23">
        <v>2.7692899999999998</v>
      </c>
      <c r="H1154" s="23">
        <v>3.2852899999999998</v>
      </c>
      <c r="I1154" s="23">
        <v>3.77529</v>
      </c>
    </row>
    <row r="1155" spans="1:9" s="21" customFormat="1" ht="20.100000000000001" customHeight="1" x14ac:dyDescent="0.2">
      <c r="A1155" s="22">
        <v>44768</v>
      </c>
      <c r="B1155" s="23" t="s">
        <v>49</v>
      </c>
      <c r="C1155" s="23">
        <v>1.5594300000000001</v>
      </c>
      <c r="D1155" s="23"/>
      <c r="E1155" s="23">
        <v>2.3460000000000001</v>
      </c>
      <c r="F1155" s="23"/>
      <c r="G1155" s="23">
        <v>2.7928600000000001</v>
      </c>
      <c r="H1155" s="23">
        <v>3.3464299999999998</v>
      </c>
      <c r="I1155" s="23">
        <v>3.8069999999999999</v>
      </c>
    </row>
    <row r="1156" spans="1:9" s="21" customFormat="1" ht="20.100000000000001" customHeight="1" x14ac:dyDescent="0.2">
      <c r="A1156" s="22">
        <v>44769</v>
      </c>
      <c r="B1156" s="23" t="s">
        <v>50</v>
      </c>
      <c r="C1156" s="23">
        <v>1.5634300000000001</v>
      </c>
      <c r="D1156" s="23"/>
      <c r="E1156" s="23">
        <v>2.37229</v>
      </c>
      <c r="F1156" s="23"/>
      <c r="G1156" s="23">
        <v>2.80586</v>
      </c>
      <c r="H1156" s="23">
        <v>3.3707099999999999</v>
      </c>
      <c r="I1156" s="23">
        <v>3.8119999999999998</v>
      </c>
    </row>
    <row r="1157" spans="1:9" s="21" customFormat="1" ht="20.100000000000001" customHeight="1" x14ac:dyDescent="0.2">
      <c r="A1157" s="22">
        <v>44770</v>
      </c>
      <c r="B1157" s="23" t="s">
        <v>51</v>
      </c>
      <c r="C1157" s="23">
        <v>2.3034300000000001</v>
      </c>
      <c r="D1157" s="23"/>
      <c r="E1157" s="23">
        <v>2.3731399999999998</v>
      </c>
      <c r="F1157" s="23"/>
      <c r="G1157" s="23">
        <v>2.7822900000000002</v>
      </c>
      <c r="H1157" s="23">
        <v>3.3407100000000001</v>
      </c>
      <c r="I1157" s="23">
        <v>3.76214</v>
      </c>
    </row>
    <row r="1158" spans="1:9" s="21" customFormat="1" ht="20.100000000000001" customHeight="1" x14ac:dyDescent="0.2">
      <c r="A1158" s="22">
        <v>44771</v>
      </c>
      <c r="B1158" s="23" t="s">
        <v>52</v>
      </c>
      <c r="C1158" s="23">
        <v>2.3215699999999999</v>
      </c>
      <c r="D1158" s="23"/>
      <c r="E1158" s="23">
        <v>2.3622899999999998</v>
      </c>
      <c r="F1158" s="23"/>
      <c r="G1158" s="23">
        <v>2.7882899999999999</v>
      </c>
      <c r="H1158" s="23">
        <v>3.32986</v>
      </c>
      <c r="I1158" s="23">
        <v>3.70729</v>
      </c>
    </row>
    <row r="1159" spans="1:9" s="21" customFormat="1" ht="20.100000000000001" customHeight="1" x14ac:dyDescent="0.2">
      <c r="A1159" s="22">
        <v>44774</v>
      </c>
      <c r="B1159" s="23" t="s">
        <v>53</v>
      </c>
      <c r="C1159" s="23">
        <v>2.3115700000000001</v>
      </c>
      <c r="D1159" s="23"/>
      <c r="E1159" s="23">
        <v>2.36686</v>
      </c>
      <c r="F1159" s="23"/>
      <c r="G1159" s="23">
        <v>2.8021400000000001</v>
      </c>
      <c r="H1159" s="23">
        <v>3.3761399999999999</v>
      </c>
      <c r="I1159" s="23">
        <v>3.74214</v>
      </c>
    </row>
    <row r="1160" spans="1:9" s="21" customFormat="1" ht="20.100000000000001" customHeight="1" x14ac:dyDescent="0.2">
      <c r="A1160" s="22">
        <v>44775</v>
      </c>
      <c r="B1160" s="23" t="s">
        <v>49</v>
      </c>
      <c r="C1160" s="23">
        <v>2.30714</v>
      </c>
      <c r="D1160" s="23"/>
      <c r="E1160" s="23">
        <v>2.3572899999999999</v>
      </c>
      <c r="F1160" s="23"/>
      <c r="G1160" s="23">
        <v>2.8069999999999999</v>
      </c>
      <c r="H1160" s="23">
        <v>3.3134299999999999</v>
      </c>
      <c r="I1160" s="23">
        <v>3.7077100000000001</v>
      </c>
    </row>
    <row r="1161" spans="1:9" s="21" customFormat="1" ht="20.100000000000001" customHeight="1" x14ac:dyDescent="0.2">
      <c r="A1161" s="22">
        <v>44776</v>
      </c>
      <c r="B1161" s="23" t="s">
        <v>50</v>
      </c>
      <c r="C1161" s="23">
        <v>2.3102900000000002</v>
      </c>
      <c r="D1161" s="23"/>
      <c r="E1161" s="23">
        <v>2.37629</v>
      </c>
      <c r="F1161" s="23"/>
      <c r="G1161" s="23">
        <v>2.83229</v>
      </c>
      <c r="H1161" s="23">
        <v>3.3889999999999998</v>
      </c>
      <c r="I1161" s="23">
        <v>3.84314</v>
      </c>
    </row>
    <row r="1162" spans="1:9" s="21" customFormat="1" ht="20.100000000000001" customHeight="1" x14ac:dyDescent="0.2">
      <c r="A1162" s="22">
        <v>44777</v>
      </c>
      <c r="B1162" s="23" t="s">
        <v>51</v>
      </c>
      <c r="C1162" s="23">
        <v>2.3095699999999999</v>
      </c>
      <c r="D1162" s="23"/>
      <c r="E1162" s="23">
        <v>2.3727100000000001</v>
      </c>
      <c r="F1162" s="23"/>
      <c r="G1162" s="23">
        <v>2.8632900000000001</v>
      </c>
      <c r="H1162" s="23">
        <v>3.3927100000000001</v>
      </c>
      <c r="I1162" s="23">
        <v>3.879</v>
      </c>
    </row>
    <row r="1163" spans="1:9" s="21" customFormat="1" ht="20.100000000000001" customHeight="1" x14ac:dyDescent="0.2">
      <c r="A1163" s="22">
        <v>44778</v>
      </c>
      <c r="B1163" s="23" t="s">
        <v>52</v>
      </c>
      <c r="C1163" s="23">
        <v>2.3119999999999998</v>
      </c>
      <c r="D1163" s="23"/>
      <c r="E1163" s="23">
        <v>2.3694299999999999</v>
      </c>
      <c r="F1163" s="23"/>
      <c r="G1163" s="23">
        <v>2.8667099999999999</v>
      </c>
      <c r="H1163" s="23">
        <v>3.42557</v>
      </c>
      <c r="I1163" s="23">
        <v>3.8598599999999998</v>
      </c>
    </row>
    <row r="1164" spans="1:9" s="21" customFormat="1" ht="20.100000000000001" customHeight="1" x14ac:dyDescent="0.2">
      <c r="A1164" s="22">
        <v>44781</v>
      </c>
      <c r="B1164" s="23" t="s">
        <v>53</v>
      </c>
      <c r="C1164" s="23">
        <v>2.3172899999999998</v>
      </c>
      <c r="D1164" s="23"/>
      <c r="E1164" s="23">
        <v>2.3885700000000001</v>
      </c>
      <c r="F1164" s="23"/>
      <c r="G1164" s="23">
        <v>2.9115700000000002</v>
      </c>
      <c r="H1164" s="23">
        <v>3.5688599999999999</v>
      </c>
      <c r="I1164" s="23">
        <v>3.99471</v>
      </c>
    </row>
    <row r="1165" spans="1:9" s="21" customFormat="1" ht="20.100000000000001" customHeight="1" x14ac:dyDescent="0.2">
      <c r="A1165" s="22">
        <v>44782</v>
      </c>
      <c r="B1165" s="23" t="s">
        <v>49</v>
      </c>
      <c r="C1165" s="23">
        <v>2.3180000000000001</v>
      </c>
      <c r="D1165" s="23"/>
      <c r="E1165" s="23">
        <v>2.3801399999999999</v>
      </c>
      <c r="F1165" s="23"/>
      <c r="G1165" s="23">
        <v>2.9209999999999998</v>
      </c>
      <c r="H1165" s="23">
        <v>3.55043</v>
      </c>
      <c r="I1165" s="23">
        <v>3.9908600000000001</v>
      </c>
    </row>
    <row r="1166" spans="1:9" s="21" customFormat="1" ht="20.100000000000001" customHeight="1" x14ac:dyDescent="0.2">
      <c r="A1166" s="22">
        <v>44783</v>
      </c>
      <c r="B1166" s="23" t="s">
        <v>50</v>
      </c>
      <c r="C1166" s="23">
        <v>2.31629</v>
      </c>
      <c r="D1166" s="23"/>
      <c r="E1166" s="23">
        <v>2.4004300000000001</v>
      </c>
      <c r="F1166" s="23"/>
      <c r="G1166" s="23">
        <v>2.9227099999999999</v>
      </c>
      <c r="H1166" s="23">
        <v>3.54657</v>
      </c>
      <c r="I1166" s="23">
        <v>3.9981399999999998</v>
      </c>
    </row>
    <row r="1167" spans="1:9" s="21" customFormat="1" ht="20.100000000000001" customHeight="1" x14ac:dyDescent="0.2">
      <c r="A1167" s="22">
        <v>44784</v>
      </c>
      <c r="B1167" s="23" t="s">
        <v>51</v>
      </c>
      <c r="C1167" s="23">
        <v>2.3239999999999998</v>
      </c>
      <c r="D1167" s="23"/>
      <c r="E1167" s="23">
        <v>2.391</v>
      </c>
      <c r="F1167" s="23"/>
      <c r="G1167" s="23">
        <v>2.9051399999999998</v>
      </c>
      <c r="H1167" s="23">
        <v>3.4887100000000002</v>
      </c>
      <c r="I1167" s="23">
        <v>3.92814</v>
      </c>
    </row>
    <row r="1168" spans="1:9" s="21" customFormat="1" ht="20.100000000000001" customHeight="1" x14ac:dyDescent="0.2">
      <c r="A1168" s="22">
        <v>44785</v>
      </c>
      <c r="B1168" s="23" t="s">
        <v>52</v>
      </c>
      <c r="C1168" s="23">
        <v>2.3148599999999999</v>
      </c>
      <c r="D1168" s="23"/>
      <c r="E1168" s="23">
        <v>2.38686</v>
      </c>
      <c r="F1168" s="23"/>
      <c r="G1168" s="23">
        <v>2.92157</v>
      </c>
      <c r="H1168" s="23">
        <v>3.50929</v>
      </c>
      <c r="I1168" s="23">
        <v>3.9590000000000001</v>
      </c>
    </row>
    <row r="1169" spans="1:9" s="21" customFormat="1" ht="20.100000000000001" customHeight="1" x14ac:dyDescent="0.2">
      <c r="A1169" s="22">
        <v>44788</v>
      </c>
      <c r="B1169" s="23" t="s">
        <v>53</v>
      </c>
      <c r="C1169" s="23">
        <v>2.3188599999999999</v>
      </c>
      <c r="D1169" s="23"/>
      <c r="E1169" s="23">
        <v>2.3797100000000002</v>
      </c>
      <c r="F1169" s="23"/>
      <c r="G1169" s="23">
        <v>2.9418600000000001</v>
      </c>
      <c r="H1169" s="23">
        <v>3.5329999999999999</v>
      </c>
      <c r="I1169" s="23">
        <v>3.99457</v>
      </c>
    </row>
    <row r="1170" spans="1:9" s="21" customFormat="1" ht="20.100000000000001" customHeight="1" x14ac:dyDescent="0.2">
      <c r="A1170" s="22">
        <v>44789</v>
      </c>
      <c r="B1170" s="23" t="s">
        <v>49</v>
      </c>
      <c r="C1170" s="23">
        <v>2.9765700000000002</v>
      </c>
      <c r="D1170" s="23"/>
      <c r="E1170" s="23">
        <v>2.3769999999999998</v>
      </c>
      <c r="F1170" s="23"/>
      <c r="G1170" s="23">
        <v>2.9605700000000001</v>
      </c>
      <c r="H1170" s="23">
        <v>3.5059999999999998</v>
      </c>
      <c r="I1170" s="23">
        <v>3.9507099999999999</v>
      </c>
    </row>
    <row r="1171" spans="1:9" s="21" customFormat="1" ht="20.100000000000001" customHeight="1" x14ac:dyDescent="0.2">
      <c r="A1171" s="22">
        <v>44790</v>
      </c>
      <c r="B1171" s="23" t="s">
        <v>50</v>
      </c>
      <c r="C1171" s="23">
        <v>2.3135699999999999</v>
      </c>
      <c r="D1171" s="23"/>
      <c r="E1171" s="23">
        <v>2.36557</v>
      </c>
      <c r="F1171" s="23"/>
      <c r="G1171" s="23">
        <v>2.9765700000000002</v>
      </c>
      <c r="H1171" s="23">
        <v>3.5077099999999999</v>
      </c>
      <c r="I1171" s="23">
        <v>3.9955699999999998</v>
      </c>
    </row>
    <row r="1172" spans="1:9" s="21" customFormat="1" ht="20.100000000000001" customHeight="1" x14ac:dyDescent="0.2">
      <c r="A1172" s="22">
        <v>44791</v>
      </c>
      <c r="B1172" s="23" t="s">
        <v>51</v>
      </c>
      <c r="C1172" s="23">
        <v>2.31786</v>
      </c>
      <c r="D1172" s="23"/>
      <c r="E1172" s="23">
        <v>2.3681399999999999</v>
      </c>
      <c r="F1172" s="23"/>
      <c r="G1172" s="23">
        <v>2.984</v>
      </c>
      <c r="H1172" s="23">
        <v>3.5075699999999999</v>
      </c>
      <c r="I1172" s="23">
        <v>3.9957099999999999</v>
      </c>
    </row>
    <row r="1173" spans="1:9" s="21" customFormat="1" ht="20.100000000000001" customHeight="1" x14ac:dyDescent="0.2">
      <c r="A1173" s="22">
        <v>44792</v>
      </c>
      <c r="B1173" s="23" t="s">
        <v>52</v>
      </c>
      <c r="C1173" s="23">
        <v>2.3211400000000002</v>
      </c>
      <c r="D1173" s="23"/>
      <c r="E1173" s="23">
        <v>2.3867099999999999</v>
      </c>
      <c r="F1173" s="23"/>
      <c r="G1173" s="23">
        <v>2.9577100000000001</v>
      </c>
      <c r="H1173" s="23">
        <v>3.5475699999999999</v>
      </c>
      <c r="I1173" s="23">
        <v>4.01586</v>
      </c>
    </row>
    <row r="1174" spans="1:9" s="21" customFormat="1" ht="20.100000000000001" customHeight="1" x14ac:dyDescent="0.2">
      <c r="A1174" s="22">
        <v>44795</v>
      </c>
      <c r="B1174" s="23" t="s">
        <v>53</v>
      </c>
      <c r="C1174" s="23">
        <v>2.3171400000000002</v>
      </c>
      <c r="D1174" s="23"/>
      <c r="E1174" s="23">
        <v>2.4274300000000002</v>
      </c>
      <c r="F1174" s="23"/>
      <c r="G1174" s="23">
        <v>2.9797099999999999</v>
      </c>
      <c r="H1174" s="23">
        <v>3.5655700000000001</v>
      </c>
      <c r="I1174" s="23">
        <v>4.0321400000000001</v>
      </c>
    </row>
    <row r="1175" spans="1:9" s="21" customFormat="1" ht="20.100000000000001" customHeight="1" x14ac:dyDescent="0.2">
      <c r="A1175" s="22">
        <v>44796</v>
      </c>
      <c r="B1175" s="23" t="s">
        <v>49</v>
      </c>
      <c r="C1175" s="23">
        <v>2.31257</v>
      </c>
      <c r="D1175" s="23"/>
      <c r="E1175" s="23">
        <v>2.4437099999999998</v>
      </c>
      <c r="F1175" s="23"/>
      <c r="G1175" s="23">
        <v>2.9968599999999999</v>
      </c>
      <c r="H1175" s="23">
        <v>3.5655700000000001</v>
      </c>
      <c r="I1175" s="23">
        <v>4.0911400000000002</v>
      </c>
    </row>
    <row r="1176" spans="1:9" s="21" customFormat="1" ht="20.100000000000001" customHeight="1" x14ac:dyDescent="0.2">
      <c r="A1176" s="22">
        <v>44797</v>
      </c>
      <c r="B1176" s="23" t="s">
        <v>50</v>
      </c>
      <c r="C1176" s="23">
        <v>2.3214299999999999</v>
      </c>
      <c r="D1176" s="23"/>
      <c r="E1176" s="23">
        <v>2.45486</v>
      </c>
      <c r="F1176" s="23"/>
      <c r="G1176" s="23">
        <v>3.01</v>
      </c>
      <c r="H1176" s="23">
        <v>3.49343</v>
      </c>
      <c r="I1176" s="23">
        <v>4.0791399999999998</v>
      </c>
    </row>
    <row r="1177" spans="1:9" s="21" customFormat="1" ht="20.100000000000001" customHeight="1" x14ac:dyDescent="0.2">
      <c r="A1177" s="22">
        <v>44798</v>
      </c>
      <c r="B1177" s="23" t="s">
        <v>51</v>
      </c>
      <c r="C1177" s="23">
        <v>2.32043</v>
      </c>
      <c r="D1177" s="23"/>
      <c r="E1177" s="23">
        <v>2.49343</v>
      </c>
      <c r="F1177" s="23"/>
      <c r="G1177" s="23">
        <v>3.0431400000000002</v>
      </c>
      <c r="H1177" s="23">
        <v>3.5268600000000001</v>
      </c>
      <c r="I1177" s="23">
        <v>4.0972900000000001</v>
      </c>
    </row>
    <row r="1178" spans="1:9" s="21" customFormat="1" ht="20.100000000000001" customHeight="1" x14ac:dyDescent="0.2">
      <c r="A1178" s="22">
        <v>44799</v>
      </c>
      <c r="B1178" s="23" t="s">
        <v>52</v>
      </c>
      <c r="C1178" s="23">
        <v>2.3091400000000002</v>
      </c>
      <c r="D1178" s="23"/>
      <c r="E1178" s="23">
        <v>2.52386</v>
      </c>
      <c r="F1178" s="23"/>
      <c r="G1178" s="23">
        <v>3.0695700000000001</v>
      </c>
      <c r="H1178" s="23">
        <v>3.56643</v>
      </c>
      <c r="I1178" s="23">
        <v>4.1232899999999999</v>
      </c>
    </row>
    <row r="1179" spans="1:9" s="21" customFormat="1" ht="20.100000000000001" customHeight="1" x14ac:dyDescent="0.2">
      <c r="A1179" s="22">
        <v>44803</v>
      </c>
      <c r="B1179" s="23" t="s">
        <v>49</v>
      </c>
      <c r="C1179" s="23">
        <v>2.30829</v>
      </c>
      <c r="D1179" s="23"/>
      <c r="E1179" s="23">
        <v>2.5640000000000001</v>
      </c>
      <c r="F1179" s="23"/>
      <c r="G1179" s="23">
        <v>3.0821399999999999</v>
      </c>
      <c r="H1179" s="23">
        <v>3.5954299999999999</v>
      </c>
      <c r="I1179" s="23">
        <v>4.1598600000000001</v>
      </c>
    </row>
    <row r="1180" spans="1:9" s="21" customFormat="1" ht="20.100000000000001" customHeight="1" x14ac:dyDescent="0.2">
      <c r="A1180" s="22">
        <v>44804</v>
      </c>
      <c r="B1180" s="23" t="s">
        <v>50</v>
      </c>
      <c r="C1180" s="23">
        <v>2.31629</v>
      </c>
      <c r="D1180" s="23"/>
      <c r="E1180" s="23">
        <v>2.6332900000000001</v>
      </c>
      <c r="F1180" s="23"/>
      <c r="G1180" s="23">
        <v>3.09971</v>
      </c>
      <c r="H1180" s="23">
        <v>3.6605699999999999</v>
      </c>
      <c r="I1180" s="23">
        <v>4.2231399999999999</v>
      </c>
    </row>
    <row r="1181" spans="1:9" s="21" customFormat="1" ht="20.100000000000001" customHeight="1" x14ac:dyDescent="0.2">
      <c r="A1181" s="22">
        <v>44805</v>
      </c>
      <c r="B1181" s="23" t="s">
        <v>51</v>
      </c>
      <c r="C1181" s="23">
        <v>2.3199999999999998</v>
      </c>
      <c r="D1181" s="23"/>
      <c r="E1181" s="23">
        <v>2.6332900000000001</v>
      </c>
      <c r="F1181" s="23"/>
      <c r="G1181" s="23">
        <v>3.1441400000000002</v>
      </c>
      <c r="H1181" s="23">
        <v>3.7017099999999998</v>
      </c>
      <c r="I1181" s="23">
        <v>4.2094300000000002</v>
      </c>
    </row>
    <row r="1182" spans="1:9" s="21" customFormat="1" ht="20.100000000000001" customHeight="1" x14ac:dyDescent="0.2">
      <c r="A1182" s="22">
        <v>44806</v>
      </c>
      <c r="B1182" s="23" t="s">
        <v>52</v>
      </c>
      <c r="C1182" s="23">
        <v>2.3147099999999998</v>
      </c>
      <c r="D1182" s="23"/>
      <c r="E1182" s="23">
        <v>2.65571</v>
      </c>
      <c r="F1182" s="23"/>
      <c r="G1182" s="23">
        <v>3.1581399999999999</v>
      </c>
      <c r="H1182" s="23">
        <v>3.7365699999999999</v>
      </c>
      <c r="I1182" s="23">
        <v>4.2205700000000004</v>
      </c>
    </row>
    <row r="1183" spans="1:9" s="21" customFormat="1" ht="20.100000000000001" customHeight="1" x14ac:dyDescent="0.2">
      <c r="A1183" s="22">
        <v>44809</v>
      </c>
      <c r="B1183" s="23" t="s">
        <v>53</v>
      </c>
      <c r="C1183" s="23"/>
      <c r="D1183" s="23"/>
      <c r="E1183" s="23">
        <v>2.6428600000000002</v>
      </c>
      <c r="F1183" s="23"/>
      <c r="G1183" s="23">
        <v>3.14486</v>
      </c>
      <c r="H1183" s="23">
        <v>3.6898599999999999</v>
      </c>
      <c r="I1183" s="23">
        <v>4.1487100000000003</v>
      </c>
    </row>
    <row r="1184" spans="1:9" s="21" customFormat="1" ht="20.100000000000001" customHeight="1" x14ac:dyDescent="0.2">
      <c r="A1184" s="22">
        <v>44810</v>
      </c>
      <c r="B1184" s="23" t="s">
        <v>49</v>
      </c>
      <c r="C1184" s="23">
        <v>2.3109999999999999</v>
      </c>
      <c r="D1184" s="23"/>
      <c r="E1184" s="23">
        <v>2.68486</v>
      </c>
      <c r="F1184" s="23"/>
      <c r="G1184" s="23">
        <v>3.1678600000000001</v>
      </c>
      <c r="H1184" s="23">
        <v>3.7102900000000001</v>
      </c>
      <c r="I1184" s="23">
        <v>4.1705699999999997</v>
      </c>
    </row>
    <row r="1185" spans="1:9" s="21" customFormat="1" ht="20.100000000000001" customHeight="1" x14ac:dyDescent="0.2">
      <c r="A1185" s="22">
        <v>44811</v>
      </c>
      <c r="B1185" s="23" t="s">
        <v>50</v>
      </c>
      <c r="C1185" s="23">
        <v>2.31243</v>
      </c>
      <c r="D1185" s="23"/>
      <c r="E1185" s="23">
        <v>2.7045699999999999</v>
      </c>
      <c r="F1185" s="23"/>
      <c r="G1185" s="23">
        <v>3.194</v>
      </c>
      <c r="H1185" s="23">
        <v>3.7521399999999998</v>
      </c>
      <c r="I1185" s="23">
        <v>4.18886</v>
      </c>
    </row>
    <row r="1186" spans="1:9" s="21" customFormat="1" ht="20.100000000000001" customHeight="1" x14ac:dyDescent="0.2">
      <c r="A1186" s="22">
        <v>44812</v>
      </c>
      <c r="B1186" s="23" t="s">
        <v>51</v>
      </c>
      <c r="C1186" s="23">
        <v>2.3107099999999998</v>
      </c>
      <c r="D1186" s="23"/>
      <c r="E1186" s="23">
        <v>2.7564299999999999</v>
      </c>
      <c r="F1186" s="23"/>
      <c r="G1186" s="23">
        <v>3.2357100000000001</v>
      </c>
      <c r="H1186" s="23">
        <v>3.7798600000000002</v>
      </c>
      <c r="I1186" s="23">
        <v>4.2030000000000003</v>
      </c>
    </row>
    <row r="1187" spans="1:9" s="21" customFormat="1" ht="20.100000000000001" customHeight="1" x14ac:dyDescent="0.2">
      <c r="A1187" s="22">
        <v>44813</v>
      </c>
      <c r="B1187" s="23" t="s">
        <v>52</v>
      </c>
      <c r="C1187" s="23">
        <v>2.3145699999999998</v>
      </c>
      <c r="D1187" s="23"/>
      <c r="E1187" s="23">
        <v>2.7564299999999999</v>
      </c>
      <c r="F1187" s="23"/>
      <c r="G1187" s="23">
        <v>3.2454299999999998</v>
      </c>
      <c r="H1187" s="23">
        <v>3.81114</v>
      </c>
      <c r="I1187" s="23">
        <v>4.1890000000000001</v>
      </c>
    </row>
    <row r="1188" spans="1:9" s="21" customFormat="1" ht="20.100000000000001" customHeight="1" x14ac:dyDescent="0.2">
      <c r="A1188" s="22">
        <v>44816</v>
      </c>
      <c r="B1188" s="23" t="s">
        <v>53</v>
      </c>
      <c r="C1188" s="23">
        <v>2.3177099999999999</v>
      </c>
      <c r="D1188" s="23"/>
      <c r="E1188" s="23">
        <v>2.7834300000000001</v>
      </c>
      <c r="F1188" s="23"/>
      <c r="G1188" s="23">
        <v>3.27014</v>
      </c>
      <c r="H1188" s="23">
        <v>3.8064300000000002</v>
      </c>
      <c r="I1188" s="23">
        <v>4.2455699999999998</v>
      </c>
    </row>
    <row r="1189" spans="1:9" s="21" customFormat="1" ht="20.100000000000001" customHeight="1" x14ac:dyDescent="0.2">
      <c r="A1189" s="22">
        <v>44817</v>
      </c>
      <c r="B1189" s="23" t="s">
        <v>49</v>
      </c>
      <c r="C1189" s="23">
        <v>2.3114300000000001</v>
      </c>
      <c r="D1189" s="23"/>
      <c r="E1189" s="23">
        <v>2.8177099999999999</v>
      </c>
      <c r="F1189" s="23"/>
      <c r="G1189" s="23">
        <v>3.29257</v>
      </c>
      <c r="H1189" s="23">
        <v>3.8368600000000002</v>
      </c>
      <c r="I1189" s="23">
        <v>4.2389999999999999</v>
      </c>
    </row>
    <row r="1190" spans="1:9" s="21" customFormat="1" ht="20.100000000000001" customHeight="1" x14ac:dyDescent="0.2">
      <c r="A1190" s="22">
        <v>44818</v>
      </c>
      <c r="B1190" s="23" t="s">
        <v>50</v>
      </c>
      <c r="C1190" s="23">
        <v>2.3221400000000001</v>
      </c>
      <c r="D1190" s="23"/>
      <c r="E1190" s="23">
        <v>2.9391400000000001</v>
      </c>
      <c r="F1190" s="23"/>
      <c r="G1190" s="23">
        <v>3.4834299999999998</v>
      </c>
      <c r="H1190" s="23">
        <v>4.0101399999999998</v>
      </c>
      <c r="I1190" s="23">
        <v>4.5321400000000001</v>
      </c>
    </row>
    <row r="1191" spans="1:9" s="21" customFormat="1" ht="20.100000000000001" customHeight="1" x14ac:dyDescent="0.2">
      <c r="A1191" s="22">
        <v>44819</v>
      </c>
      <c r="B1191" s="23" t="s">
        <v>51</v>
      </c>
      <c r="C1191" s="23">
        <v>2.3210000000000002</v>
      </c>
      <c r="D1191" s="23"/>
      <c r="E1191" s="23">
        <v>2.99343</v>
      </c>
      <c r="F1191" s="23"/>
      <c r="G1191" s="23">
        <v>3.5271400000000002</v>
      </c>
      <c r="H1191" s="23">
        <v>4.0629999999999997</v>
      </c>
      <c r="I1191" s="23">
        <v>4.6214300000000001</v>
      </c>
    </row>
    <row r="1192" spans="1:9" s="21" customFormat="1" ht="20.100000000000001" customHeight="1" x14ac:dyDescent="0.2">
      <c r="A1192" s="22">
        <v>44820</v>
      </c>
      <c r="B1192" s="23" t="s">
        <v>52</v>
      </c>
      <c r="C1192" s="23">
        <v>2.3155700000000001</v>
      </c>
      <c r="D1192" s="23"/>
      <c r="E1192" s="23">
        <v>3.0138600000000002</v>
      </c>
      <c r="F1192" s="23"/>
      <c r="G1192" s="23">
        <v>3.5652900000000001</v>
      </c>
      <c r="H1192" s="23">
        <v>4.1232899999999999</v>
      </c>
      <c r="I1192" s="23">
        <v>4.6721399999999997</v>
      </c>
    </row>
    <row r="1193" spans="1:9" s="21" customFormat="1" ht="20.100000000000001" customHeight="1" x14ac:dyDescent="0.2">
      <c r="A1193" s="22">
        <v>44824</v>
      </c>
      <c r="B1193" s="23" t="s">
        <v>49</v>
      </c>
      <c r="C1193" s="23">
        <v>2.3154300000000001</v>
      </c>
      <c r="D1193" s="23"/>
      <c r="E1193" s="23">
        <v>3.05186</v>
      </c>
      <c r="F1193" s="23"/>
      <c r="G1193" s="23">
        <v>3.6017100000000002</v>
      </c>
      <c r="H1193" s="23">
        <v>4.1751399999999999</v>
      </c>
      <c r="I1193" s="23">
        <v>4.6994300000000004</v>
      </c>
    </row>
    <row r="1194" spans="1:9" s="21" customFormat="1" ht="20.100000000000001" customHeight="1" x14ac:dyDescent="0.2">
      <c r="A1194" s="22">
        <v>44825</v>
      </c>
      <c r="B1194" s="23" t="s">
        <v>50</v>
      </c>
      <c r="C1194" s="23">
        <v>2.3197100000000002</v>
      </c>
      <c r="D1194" s="23"/>
      <c r="E1194" s="23">
        <v>3.0590000000000002</v>
      </c>
      <c r="F1194" s="23"/>
      <c r="G1194" s="23">
        <v>3.6038600000000001</v>
      </c>
      <c r="H1194" s="23">
        <v>4.1239999999999997</v>
      </c>
      <c r="I1194" s="23">
        <v>4.6824300000000001</v>
      </c>
    </row>
    <row r="1195" spans="1:9" s="21" customFormat="1" ht="20.100000000000001" customHeight="1" x14ac:dyDescent="0.2">
      <c r="A1195" s="22">
        <v>44826</v>
      </c>
      <c r="B1195" s="23" t="s">
        <v>51</v>
      </c>
      <c r="C1195" s="23">
        <v>3.0717099999999999</v>
      </c>
      <c r="D1195" s="23"/>
      <c r="E1195" s="23">
        <v>3.0840000000000001</v>
      </c>
      <c r="F1195" s="23"/>
      <c r="G1195" s="23">
        <v>3.6414300000000002</v>
      </c>
      <c r="H1195" s="23">
        <v>4.1827100000000002</v>
      </c>
      <c r="I1195" s="23">
        <v>4.7995700000000001</v>
      </c>
    </row>
    <row r="1196" spans="1:9" s="21" customFormat="1" ht="20.100000000000001" customHeight="1" x14ac:dyDescent="0.2">
      <c r="A1196" s="22">
        <v>44827</v>
      </c>
      <c r="B1196" s="23" t="s">
        <v>52</v>
      </c>
      <c r="C1196" s="23">
        <v>3.0694300000000001</v>
      </c>
      <c r="D1196" s="23"/>
      <c r="E1196" s="23">
        <v>3.0802900000000002</v>
      </c>
      <c r="F1196" s="23"/>
      <c r="G1196" s="23">
        <v>3.6284299999999998</v>
      </c>
      <c r="H1196" s="23">
        <v>4.2012900000000002</v>
      </c>
      <c r="I1196" s="23">
        <v>4.8348599999999999</v>
      </c>
    </row>
    <row r="1197" spans="1:9" s="21" customFormat="1" ht="20.100000000000001" customHeight="1" x14ac:dyDescent="0.2">
      <c r="A1197" s="22">
        <v>44830</v>
      </c>
      <c r="B1197" s="23" t="s">
        <v>53</v>
      </c>
      <c r="C1197" s="23">
        <v>3.0632899999999998</v>
      </c>
      <c r="D1197" s="23"/>
      <c r="E1197" s="23">
        <v>3.11314</v>
      </c>
      <c r="F1197" s="23"/>
      <c r="G1197" s="23">
        <v>3.64086</v>
      </c>
      <c r="H1197" s="23">
        <v>4.2458600000000004</v>
      </c>
      <c r="I1197" s="23">
        <v>4.9050000000000002</v>
      </c>
    </row>
    <row r="1198" spans="1:9" s="21" customFormat="1" ht="20.100000000000001" customHeight="1" x14ac:dyDescent="0.2">
      <c r="A1198" s="22">
        <v>44831</v>
      </c>
      <c r="B1198" s="23" t="s">
        <v>49</v>
      </c>
      <c r="C1198" s="23">
        <v>3.0640000000000001</v>
      </c>
      <c r="D1198" s="23"/>
      <c r="E1198" s="23">
        <v>3.1205699999999998</v>
      </c>
      <c r="F1198" s="23"/>
      <c r="G1198" s="23">
        <v>3.6418599999999999</v>
      </c>
      <c r="H1198" s="23">
        <v>4.2081400000000002</v>
      </c>
      <c r="I1198" s="23">
        <v>4.8517099999999997</v>
      </c>
    </row>
    <row r="1199" spans="1:9" s="21" customFormat="1" ht="20.100000000000001" customHeight="1" x14ac:dyDescent="0.2">
      <c r="A1199" s="22">
        <v>44832</v>
      </c>
      <c r="B1199" s="23" t="s">
        <v>50</v>
      </c>
      <c r="C1199" s="23">
        <v>3.0640000000000001</v>
      </c>
      <c r="D1199" s="23"/>
      <c r="E1199" s="23">
        <v>3.1152899999999999</v>
      </c>
      <c r="F1199" s="23"/>
      <c r="G1199" s="23">
        <v>3.67414</v>
      </c>
      <c r="H1199" s="23">
        <v>4.1698599999999999</v>
      </c>
      <c r="I1199" s="23">
        <v>4.7759999999999998</v>
      </c>
    </row>
    <row r="1200" spans="1:9" s="21" customFormat="1" ht="20.100000000000001" customHeight="1" x14ac:dyDescent="0.2">
      <c r="A1200" s="22">
        <v>44833</v>
      </c>
      <c r="B1200" s="23" t="s">
        <v>51</v>
      </c>
      <c r="C1200" s="23">
        <v>3.0609999999999999</v>
      </c>
      <c r="D1200" s="23"/>
      <c r="E1200" s="23">
        <v>3.1278600000000001</v>
      </c>
      <c r="F1200" s="23"/>
      <c r="G1200" s="23">
        <v>3.7428599999999999</v>
      </c>
      <c r="H1200" s="23">
        <v>4.2092900000000002</v>
      </c>
      <c r="I1200" s="23">
        <v>4.7872899999999996</v>
      </c>
    </row>
    <row r="1201" spans="1:9" s="21" customFormat="1" ht="20.100000000000001" customHeight="1" x14ac:dyDescent="0.2">
      <c r="A1201" s="22">
        <v>44834</v>
      </c>
      <c r="B1201" s="23" t="s">
        <v>52</v>
      </c>
      <c r="C1201" s="23">
        <v>3.06514</v>
      </c>
      <c r="D1201" s="23"/>
      <c r="E1201" s="23">
        <v>3.1427100000000001</v>
      </c>
      <c r="F1201" s="23"/>
      <c r="G1201" s="23">
        <v>3.7547100000000002</v>
      </c>
      <c r="H1201" s="23">
        <v>4.2320000000000002</v>
      </c>
      <c r="I1201" s="23">
        <v>4.78057</v>
      </c>
    </row>
  </sheetData>
  <autoFilter ref="A1:I1">
    <sortState ref="A2:I1201">
      <sortCondition ref="A1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C88D599C398F4289FDECD9A66760A0" ma:contentTypeVersion="10" ma:contentTypeDescription="Create a new document." ma:contentTypeScope="" ma:versionID="d53c80f73bd1c3fc78c32c7b3458f116">
  <xsd:schema xmlns:xsd="http://www.w3.org/2001/XMLSchema" xmlns:xs="http://www.w3.org/2001/XMLSchema" xmlns:p="http://schemas.microsoft.com/office/2006/metadata/properties" xmlns:ns3="abbdfc9b-f9c7-4768-9ed6-430ee0bc8972" xmlns:ns4="5b60ff75-035c-402d-9b77-59d9dce27286" targetNamespace="http://schemas.microsoft.com/office/2006/metadata/properties" ma:root="true" ma:fieldsID="bce6cb314c59a848f84bba60d7f3b32b" ns3:_="" ns4:_="">
    <xsd:import namespace="abbdfc9b-f9c7-4768-9ed6-430ee0bc8972"/>
    <xsd:import namespace="5b60ff75-035c-402d-9b77-59d9dce2728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dfc9b-f9c7-4768-9ed6-430ee0bc89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0ff75-035c-402d-9b77-59d9dce2728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CE502B-D533-4515-B92B-83915076E2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bdfc9b-f9c7-4768-9ed6-430ee0bc8972"/>
    <ds:schemaRef ds:uri="5b60ff75-035c-402d-9b77-59d9dce272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0B3E11-22AB-4B92-A3BA-1EC58F44DB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F96806-A8D2-486D-B1B9-2C937C67B3ED}">
  <ds:schemaRefs>
    <ds:schemaRef ds:uri="http://purl.org/dc/terms/"/>
    <ds:schemaRef ds:uri="http://schemas.microsoft.com/office/infopath/2007/PartnerControls"/>
    <ds:schemaRef ds:uri="http://schemas.openxmlformats.org/package/2006/metadata/core-properties"/>
    <ds:schemaRef ds:uri="abbdfc9b-f9c7-4768-9ed6-430ee0bc8972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5b60ff75-035c-402d-9b77-59d9dce27286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Variables y Resumen</vt:lpstr>
      <vt:lpstr>36533-00 USD</vt:lpstr>
      <vt:lpstr>36533-01 USD</vt:lpstr>
      <vt:lpstr>36533-03 USD</vt:lpstr>
      <vt:lpstr>36533-04 USD</vt:lpstr>
      <vt:lpstr>CALCULOS</vt:lpstr>
      <vt:lpstr>LIBOR</vt:lpstr>
      <vt:lpstr>'36533-00 USD'!Área_de_impresión</vt:lpstr>
      <vt:lpstr>'36533-01 USD'!Área_de_impresión</vt:lpstr>
      <vt:lpstr>'36533-03 USD'!Área_de_impresión</vt:lpstr>
      <vt:lpstr>'36533-04 USD'!Área_de_impresión</vt:lpstr>
      <vt:lpstr>'Variables y Resumen'!Área_de_impresión</vt:lpstr>
      <vt:lpstr>Selección_Libor</vt:lpstr>
      <vt:lpstr>Tabla_Libor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MARTIN</dc:creator>
  <cp:lastModifiedBy>SALORT, Noelia Soledad</cp:lastModifiedBy>
  <cp:lastPrinted>2022-11-14T16:05:57Z</cp:lastPrinted>
  <dcterms:created xsi:type="dcterms:W3CDTF">2021-02-01T16:49:21Z</dcterms:created>
  <dcterms:modified xsi:type="dcterms:W3CDTF">2022-12-19T12:10:05Z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0x010100CAC88D599C398F4289FDECD9A66760A0</vt:lpwstr>
  </property>
</Properties>
</file>